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7235" windowHeight="12015" activeTab="2"/>
  </bookViews>
  <sheets>
    <sheet name="ReadMe" sheetId="5" r:id="rId1"/>
    <sheet name="Parameter Sets" sheetId="4" r:id="rId2"/>
    <sheet name="LongChannel Model" sheetId="1" r:id="rId3"/>
    <sheet name="Fixed Vds" sheetId="3" r:id="rId4"/>
    <sheet name="R Pullup" sheetId="6" r:id="rId5"/>
  </sheets>
  <calcPr calcId="145621"/>
</workbook>
</file>

<file path=xl/calcChain.xml><?xml version="1.0" encoding="utf-8"?>
<calcChain xmlns="http://schemas.openxmlformats.org/spreadsheetml/2006/main">
  <c r="C2" i="1" l="1"/>
  <c r="A19" i="6"/>
  <c r="A18" i="6"/>
  <c r="D1" i="6"/>
  <c r="B1" i="6"/>
  <c r="A4" i="6"/>
  <c r="A3" i="6"/>
  <c r="C20" i="4"/>
  <c r="C24" i="4"/>
  <c r="C25" i="4"/>
  <c r="C27" i="4"/>
  <c r="C26" i="4"/>
  <c r="C10" i="1"/>
  <c r="C23" i="4"/>
  <c r="C8" i="1" s="1"/>
  <c r="C18" i="1" s="1"/>
  <c r="C22" i="4"/>
  <c r="C7" i="1" s="1"/>
  <c r="C21" i="4"/>
  <c r="F19" i="4"/>
  <c r="E19" i="4"/>
  <c r="D19" i="4"/>
  <c r="D20" i="4"/>
  <c r="E20" i="4"/>
  <c r="F20" i="4"/>
  <c r="E24" i="4"/>
  <c r="E25" i="4"/>
  <c r="D6" i="4"/>
  <c r="E6" i="4"/>
  <c r="F6" i="4"/>
  <c r="E7" i="4"/>
  <c r="C5" i="1"/>
  <c r="B5" i="1"/>
  <c r="B20" i="4"/>
  <c r="A20" i="4"/>
  <c r="C4" i="1"/>
  <c r="C19" i="4"/>
  <c r="A27" i="4"/>
  <c r="A26" i="4"/>
  <c r="A25" i="4"/>
  <c r="A24" i="4"/>
  <c r="A23" i="4"/>
  <c r="A22" i="4"/>
  <c r="A21" i="4"/>
  <c r="B4" i="1"/>
  <c r="C1" i="1" s="1"/>
  <c r="C12" i="1"/>
  <c r="C11" i="1"/>
  <c r="C19" i="1" s="1"/>
  <c r="C9" i="1"/>
  <c r="C6" i="1"/>
  <c r="B12" i="1"/>
  <c r="B11" i="1"/>
  <c r="B19" i="1" s="1"/>
  <c r="B10" i="1"/>
  <c r="B9" i="1"/>
  <c r="B8" i="1"/>
  <c r="B18" i="1" s="1"/>
  <c r="B6" i="1"/>
  <c r="C17" i="1" l="1"/>
  <c r="B7" i="1"/>
  <c r="B17" i="1" s="1"/>
  <c r="C20" i="1"/>
  <c r="C23" i="1" s="1"/>
  <c r="B20" i="1"/>
  <c r="B23" i="1" s="1"/>
  <c r="D3" i="3"/>
  <c r="E3" i="3" s="1"/>
  <c r="F3" i="3" s="1"/>
  <c r="G3" i="3" s="1"/>
  <c r="H3" i="3" s="1"/>
  <c r="I3" i="3" s="1"/>
  <c r="J3" i="3" s="1"/>
  <c r="K3" i="3" s="1"/>
  <c r="L3" i="3" s="1"/>
  <c r="C3" i="3"/>
  <c r="B4" i="3"/>
  <c r="M61" i="1"/>
  <c r="M62" i="1" s="1"/>
  <c r="M63" i="1" s="1"/>
  <c r="M64" i="1" s="1"/>
  <c r="M65" i="1" s="1"/>
  <c r="M66" i="1" s="1"/>
  <c r="M67" i="1" s="1"/>
  <c r="M68" i="1" s="1"/>
  <c r="M69" i="1" s="1"/>
  <c r="M70" i="1" s="1"/>
  <c r="C57" i="1"/>
  <c r="D57" i="1" s="1"/>
  <c r="E57" i="1" s="1"/>
  <c r="F57" i="1" s="1"/>
  <c r="G57" i="1" s="1"/>
  <c r="H57" i="1" s="1"/>
  <c r="I57" i="1" s="1"/>
  <c r="J57" i="1" s="1"/>
  <c r="K57" i="1" s="1"/>
  <c r="L57" i="1" s="1"/>
  <c r="B59" i="1"/>
  <c r="A60" i="1"/>
  <c r="B25" i="1"/>
  <c r="B26" i="1" s="1"/>
  <c r="B44" i="1" l="1"/>
  <c r="B42" i="1" s="1"/>
  <c r="A45" i="1"/>
  <c r="C16" i="1"/>
  <c r="C21" i="1" l="1"/>
  <c r="C22" i="1" s="1"/>
  <c r="B27" i="1"/>
  <c r="C29" i="1"/>
  <c r="A31" i="1"/>
  <c r="A5" i="6" s="1"/>
  <c r="A20" i="6" s="1"/>
  <c r="B16" i="1"/>
  <c r="B45" i="1" l="1"/>
  <c r="L70" i="1" s="1"/>
  <c r="C59" i="1"/>
  <c r="C4" i="3"/>
  <c r="A46" i="1"/>
  <c r="A61" i="1"/>
  <c r="C44" i="1"/>
  <c r="C42" i="1" s="1"/>
  <c r="C46" i="1" s="1"/>
  <c r="K69" i="1" s="1"/>
  <c r="B46" i="1"/>
  <c r="L69" i="1" s="1"/>
  <c r="B21" i="1"/>
  <c r="B22" i="1" s="1"/>
  <c r="A32" i="1"/>
  <c r="A6" i="6" s="1"/>
  <c r="A21" i="6" s="1"/>
  <c r="D29" i="1"/>
  <c r="D4" i="3" s="1"/>
  <c r="C27" i="1"/>
  <c r="D44" i="1" l="1"/>
  <c r="D42" i="1" s="1"/>
  <c r="D45" i="1" s="1"/>
  <c r="J70" i="1" s="1"/>
  <c r="D59" i="1"/>
  <c r="C32" i="1"/>
  <c r="A62" i="1"/>
  <c r="C45" i="1"/>
  <c r="K70" i="1" s="1"/>
  <c r="D27" i="1"/>
  <c r="D30" i="1" s="1"/>
  <c r="B32" i="1"/>
  <c r="B31" i="1"/>
  <c r="C31" i="1"/>
  <c r="C30" i="1"/>
  <c r="B30" i="1"/>
  <c r="E29" i="1"/>
  <c r="E4" i="3" s="1"/>
  <c r="A33" i="1"/>
  <c r="A7" i="6" s="1"/>
  <c r="A22" i="6" s="1"/>
  <c r="A47" i="1"/>
  <c r="D47" i="1" l="1"/>
  <c r="J68" i="1" s="1"/>
  <c r="D46" i="1"/>
  <c r="J69" i="1" s="1"/>
  <c r="E59" i="1"/>
  <c r="C33" i="1"/>
  <c r="A63" i="1"/>
  <c r="B33" i="1"/>
  <c r="D31" i="1"/>
  <c r="D32" i="1"/>
  <c r="F29" i="1"/>
  <c r="F4" i="3" s="1"/>
  <c r="B47" i="1"/>
  <c r="L68" i="1" s="1"/>
  <c r="C47" i="1"/>
  <c r="K68" i="1" s="1"/>
  <c r="E27" i="1"/>
  <c r="E30" i="1" s="1"/>
  <c r="E44" i="1"/>
  <c r="E42" i="1" s="1"/>
  <c r="A34" i="1"/>
  <c r="A48" i="1"/>
  <c r="D33" i="1"/>
  <c r="A64" i="1" l="1"/>
  <c r="A8" i="6"/>
  <c r="A23" i="6" s="1"/>
  <c r="F44" i="1"/>
  <c r="F42" i="1" s="1"/>
  <c r="F47" i="1" s="1"/>
  <c r="H68" i="1" s="1"/>
  <c r="F27" i="1"/>
  <c r="F33" i="1" s="1"/>
  <c r="G29" i="1"/>
  <c r="G44" i="1" s="1"/>
  <c r="G42" i="1" s="1"/>
  <c r="F59" i="1"/>
  <c r="B34" i="1"/>
  <c r="C34" i="1"/>
  <c r="E45" i="1"/>
  <c r="I70" i="1" s="1"/>
  <c r="E32" i="1"/>
  <c r="E47" i="1"/>
  <c r="I68" i="1" s="1"/>
  <c r="E33" i="1"/>
  <c r="E31" i="1"/>
  <c r="E46" i="1"/>
  <c r="I69" i="1" s="1"/>
  <c r="E34" i="1"/>
  <c r="B48" i="1"/>
  <c r="L67" i="1" s="1"/>
  <c r="C48" i="1"/>
  <c r="K67" i="1" s="1"/>
  <c r="D48" i="1"/>
  <c r="J67" i="1" s="1"/>
  <c r="E48" i="1"/>
  <c r="I67" i="1" s="1"/>
  <c r="A35" i="1"/>
  <c r="A9" i="6" s="1"/>
  <c r="A24" i="6" s="1"/>
  <c r="A49" i="1"/>
  <c r="D34" i="1"/>
  <c r="F46" i="1" l="1"/>
  <c r="H69" i="1" s="1"/>
  <c r="F48" i="1"/>
  <c r="H67" i="1" s="1"/>
  <c r="F45" i="1"/>
  <c r="H70" i="1" s="1"/>
  <c r="F49" i="1"/>
  <c r="H66" i="1" s="1"/>
  <c r="G27" i="1"/>
  <c r="G33" i="1" s="1"/>
  <c r="H29" i="1"/>
  <c r="H44" i="1" s="1"/>
  <c r="H42" i="1" s="1"/>
  <c r="F31" i="1"/>
  <c r="F32" i="1"/>
  <c r="F34" i="1"/>
  <c r="A65" i="1"/>
  <c r="G59" i="1"/>
  <c r="G4" i="3"/>
  <c r="F30" i="1"/>
  <c r="B35" i="1"/>
  <c r="C35" i="1"/>
  <c r="E49" i="1"/>
  <c r="I66" i="1" s="1"/>
  <c r="C49" i="1"/>
  <c r="K66" i="1" s="1"/>
  <c r="B49" i="1"/>
  <c r="L66" i="1" s="1"/>
  <c r="D49" i="1"/>
  <c r="J66" i="1" s="1"/>
  <c r="A36" i="1"/>
  <c r="A50" i="1"/>
  <c r="D35" i="1"/>
  <c r="F35" i="1"/>
  <c r="E35" i="1"/>
  <c r="G48" i="1"/>
  <c r="G67" i="1" s="1"/>
  <c r="G46" i="1"/>
  <c r="G69" i="1" s="1"/>
  <c r="G45" i="1"/>
  <c r="G70" i="1" s="1"/>
  <c r="G47" i="1"/>
  <c r="G68" i="1" s="1"/>
  <c r="G49" i="1"/>
  <c r="G66" i="1" s="1"/>
  <c r="A66" i="1" l="1"/>
  <c r="A10" i="6"/>
  <c r="A25" i="6" s="1"/>
  <c r="I29" i="1"/>
  <c r="I4" i="3" s="1"/>
  <c r="H59" i="1"/>
  <c r="H27" i="1"/>
  <c r="H30" i="1" s="1"/>
  <c r="G34" i="1"/>
  <c r="H4" i="3"/>
  <c r="G35" i="1"/>
  <c r="G32" i="1"/>
  <c r="G31" i="1"/>
  <c r="G30" i="1"/>
  <c r="C36" i="1"/>
  <c r="B36" i="1"/>
  <c r="H36" i="1"/>
  <c r="H34" i="1"/>
  <c r="B50" i="1"/>
  <c r="L65" i="1" s="1"/>
  <c r="C50" i="1"/>
  <c r="K65" i="1" s="1"/>
  <c r="D50" i="1"/>
  <c r="J65" i="1" s="1"/>
  <c r="E50" i="1"/>
  <c r="I65" i="1" s="1"/>
  <c r="F50" i="1"/>
  <c r="H65" i="1" s="1"/>
  <c r="A37" i="1"/>
  <c r="A51" i="1"/>
  <c r="D36" i="1"/>
  <c r="E36" i="1"/>
  <c r="F36" i="1"/>
  <c r="G36" i="1"/>
  <c r="G50" i="1"/>
  <c r="G65" i="1" s="1"/>
  <c r="H47" i="1"/>
  <c r="F68" i="1" s="1"/>
  <c r="H49" i="1"/>
  <c r="F66" i="1" s="1"/>
  <c r="H50" i="1"/>
  <c r="F65" i="1" s="1"/>
  <c r="H45" i="1"/>
  <c r="F70" i="1" s="1"/>
  <c r="H48" i="1"/>
  <c r="F67" i="1" s="1"/>
  <c r="H46" i="1"/>
  <c r="F69" i="1" s="1"/>
  <c r="A67" i="1" l="1"/>
  <c r="A11" i="6"/>
  <c r="A26" i="6" s="1"/>
  <c r="H31" i="1"/>
  <c r="H35" i="1"/>
  <c r="J29" i="1"/>
  <c r="J4" i="3" s="1"/>
  <c r="I59" i="1"/>
  <c r="I27" i="1"/>
  <c r="I31" i="1" s="1"/>
  <c r="I44" i="1"/>
  <c r="I42" i="1" s="1"/>
  <c r="I49" i="1" s="1"/>
  <c r="E66" i="1" s="1"/>
  <c r="H32" i="1"/>
  <c r="H33" i="1"/>
  <c r="A38" i="1"/>
  <c r="C37" i="1"/>
  <c r="B37" i="1"/>
  <c r="C51" i="1"/>
  <c r="K64" i="1" s="1"/>
  <c r="B51" i="1"/>
  <c r="L64" i="1" s="1"/>
  <c r="D51" i="1"/>
  <c r="J64" i="1" s="1"/>
  <c r="H51" i="1"/>
  <c r="F64" i="1" s="1"/>
  <c r="E51" i="1"/>
  <c r="I64" i="1" s="1"/>
  <c r="F51" i="1"/>
  <c r="H64" i="1" s="1"/>
  <c r="G51" i="1"/>
  <c r="G64" i="1" s="1"/>
  <c r="A52" i="1"/>
  <c r="D37" i="1"/>
  <c r="E37" i="1"/>
  <c r="F37" i="1"/>
  <c r="G37" i="1"/>
  <c r="H37" i="1"/>
  <c r="D38" i="1" l="1"/>
  <c r="A12" i="6"/>
  <c r="A27" i="6" s="1"/>
  <c r="I37" i="1"/>
  <c r="I32" i="1"/>
  <c r="I52" i="1"/>
  <c r="E63" i="1" s="1"/>
  <c r="I47" i="1"/>
  <c r="E68" i="1" s="1"/>
  <c r="I51" i="1"/>
  <c r="E64" i="1" s="1"/>
  <c r="I30" i="1"/>
  <c r="I35" i="1"/>
  <c r="I33" i="1"/>
  <c r="I36" i="1"/>
  <c r="I38" i="1"/>
  <c r="I34" i="1"/>
  <c r="I48" i="1"/>
  <c r="E67" i="1" s="1"/>
  <c r="J44" i="1"/>
  <c r="J42" i="1" s="1"/>
  <c r="J47" i="1" s="1"/>
  <c r="D68" i="1" s="1"/>
  <c r="I45" i="1"/>
  <c r="E70" i="1" s="1"/>
  <c r="J59" i="1"/>
  <c r="J27" i="1"/>
  <c r="J35" i="1" s="1"/>
  <c r="I50" i="1"/>
  <c r="E65" i="1" s="1"/>
  <c r="K29" i="1"/>
  <c r="K4" i="3" s="1"/>
  <c r="I46" i="1"/>
  <c r="E69" i="1" s="1"/>
  <c r="E38" i="1"/>
  <c r="H38" i="1"/>
  <c r="G38" i="1"/>
  <c r="F38" i="1"/>
  <c r="A39" i="1"/>
  <c r="A68" i="1"/>
  <c r="A53" i="1"/>
  <c r="B38" i="1"/>
  <c r="C38" i="1"/>
  <c r="C52" i="1"/>
  <c r="K63" i="1" s="1"/>
  <c r="B52" i="1"/>
  <c r="L63" i="1" s="1"/>
  <c r="D52" i="1"/>
  <c r="J63" i="1" s="1"/>
  <c r="E52" i="1"/>
  <c r="I63" i="1" s="1"/>
  <c r="F52" i="1"/>
  <c r="H63" i="1" s="1"/>
  <c r="G52" i="1"/>
  <c r="G63" i="1" s="1"/>
  <c r="H52" i="1"/>
  <c r="F63" i="1" s="1"/>
  <c r="A69" i="1" l="1"/>
  <c r="A13" i="6"/>
  <c r="A28" i="6" s="1"/>
  <c r="C39" i="1"/>
  <c r="B39" i="1"/>
  <c r="J36" i="1"/>
  <c r="J38" i="1"/>
  <c r="J33" i="1"/>
  <c r="J31" i="1"/>
  <c r="J34" i="1"/>
  <c r="J37" i="1"/>
  <c r="J30" i="1"/>
  <c r="J32" i="1"/>
  <c r="J48" i="1"/>
  <c r="D67" i="1" s="1"/>
  <c r="J50" i="1"/>
  <c r="D65" i="1" s="1"/>
  <c r="J51" i="1"/>
  <c r="D64" i="1" s="1"/>
  <c r="J45" i="1"/>
  <c r="D70" i="1" s="1"/>
  <c r="J52" i="1"/>
  <c r="D63" i="1" s="1"/>
  <c r="J46" i="1"/>
  <c r="D69" i="1" s="1"/>
  <c r="K59" i="1"/>
  <c r="K27" i="1"/>
  <c r="K31" i="1" s="1"/>
  <c r="K44" i="1"/>
  <c r="K42" i="1" s="1"/>
  <c r="K52" i="1" s="1"/>
  <c r="C63" i="1" s="1"/>
  <c r="J49" i="1"/>
  <c r="D66" i="1" s="1"/>
  <c r="L29" i="1"/>
  <c r="L4" i="3" s="1"/>
  <c r="I39" i="1"/>
  <c r="H39" i="1"/>
  <c r="D39" i="1"/>
  <c r="G39" i="1"/>
  <c r="F39" i="1"/>
  <c r="E39" i="1"/>
  <c r="A54" i="1"/>
  <c r="C54" i="1" s="1"/>
  <c r="K61" i="1" s="1"/>
  <c r="A40" i="1"/>
  <c r="J39" i="1"/>
  <c r="D53" i="1"/>
  <c r="J62" i="1" s="1"/>
  <c r="B53" i="1"/>
  <c r="L62" i="1" s="1"/>
  <c r="J53" i="1"/>
  <c r="D62" i="1" s="1"/>
  <c r="C53" i="1"/>
  <c r="K62" i="1" s="1"/>
  <c r="I53" i="1"/>
  <c r="E62" i="1" s="1"/>
  <c r="E53" i="1"/>
  <c r="I62" i="1" s="1"/>
  <c r="F53" i="1"/>
  <c r="H62" i="1" s="1"/>
  <c r="G53" i="1"/>
  <c r="G62" i="1" s="1"/>
  <c r="H53" i="1"/>
  <c r="F62" i="1" s="1"/>
  <c r="E40" i="1" l="1"/>
  <c r="A14" i="6"/>
  <c r="D54" i="1"/>
  <c r="J61" i="1" s="1"/>
  <c r="C40" i="1"/>
  <c r="C5" i="3" s="1"/>
  <c r="B40" i="1"/>
  <c r="B5" i="3" s="1"/>
  <c r="B54" i="1"/>
  <c r="L61" i="1" s="1"/>
  <c r="L59" i="1"/>
  <c r="L44" i="1"/>
  <c r="L42" i="1" s="1"/>
  <c r="L51" i="1" s="1"/>
  <c r="B64" i="1" s="1"/>
  <c r="D40" i="1"/>
  <c r="D5" i="3" s="1"/>
  <c r="K32" i="1"/>
  <c r="L27" i="1"/>
  <c r="L31" i="1" s="1"/>
  <c r="K35" i="1"/>
  <c r="K34" i="1"/>
  <c r="K33" i="1"/>
  <c r="K53" i="1"/>
  <c r="C62" i="1" s="1"/>
  <c r="K38" i="1"/>
  <c r="K48" i="1"/>
  <c r="C67" i="1" s="1"/>
  <c r="K46" i="1"/>
  <c r="C69" i="1" s="1"/>
  <c r="K30" i="1"/>
  <c r="K37" i="1"/>
  <c r="K50" i="1"/>
  <c r="C65" i="1" s="1"/>
  <c r="K47" i="1"/>
  <c r="C68" i="1" s="1"/>
  <c r="K36" i="1"/>
  <c r="K45" i="1"/>
  <c r="C70" i="1" s="1"/>
  <c r="K51" i="1"/>
  <c r="C64" i="1" s="1"/>
  <c r="K39" i="1"/>
  <c r="K49" i="1"/>
  <c r="C66" i="1" s="1"/>
  <c r="F40" i="1"/>
  <c r="F5" i="3" s="1"/>
  <c r="I40" i="1"/>
  <c r="I5" i="3" s="1"/>
  <c r="A55" i="1"/>
  <c r="B55" i="1" s="1"/>
  <c r="L60" i="1" s="1"/>
  <c r="E5" i="3"/>
  <c r="J40" i="1"/>
  <c r="J5" i="3" s="1"/>
  <c r="E54" i="1"/>
  <c r="I61" i="1" s="1"/>
  <c r="F54" i="1"/>
  <c r="H61" i="1" s="1"/>
  <c r="H40" i="1"/>
  <c r="H5" i="3" s="1"/>
  <c r="I54" i="1"/>
  <c r="E61" i="1" s="1"/>
  <c r="H54" i="1"/>
  <c r="F61" i="1" s="1"/>
  <c r="K54" i="1"/>
  <c r="C61" i="1" s="1"/>
  <c r="G40" i="1"/>
  <c r="G5" i="3" s="1"/>
  <c r="J54" i="1"/>
  <c r="D61" i="1" s="1"/>
  <c r="G54" i="1"/>
  <c r="G61" i="1" s="1"/>
  <c r="K40" i="1"/>
  <c r="A70" i="1"/>
  <c r="C13" i="6" l="1"/>
  <c r="A29" i="6"/>
  <c r="B14" i="6"/>
  <c r="C6" i="6"/>
  <c r="D4" i="6"/>
  <c r="C10" i="6"/>
  <c r="D14" i="6"/>
  <c r="C7" i="6"/>
  <c r="B13" i="6"/>
  <c r="B7" i="6"/>
  <c r="D11" i="6"/>
  <c r="B10" i="6"/>
  <c r="C8" i="6"/>
  <c r="C12" i="6"/>
  <c r="C14" i="6"/>
  <c r="D12" i="6"/>
  <c r="B11" i="6"/>
  <c r="C5" i="6"/>
  <c r="B9" i="6"/>
  <c r="B4" i="6"/>
  <c r="D7" i="6"/>
  <c r="D6" i="6"/>
  <c r="D5" i="6"/>
  <c r="B6" i="6"/>
  <c r="B8" i="6"/>
  <c r="B12" i="6"/>
  <c r="D13" i="6"/>
  <c r="C11" i="6"/>
  <c r="D10" i="6"/>
  <c r="D8" i="6"/>
  <c r="C4" i="6"/>
  <c r="B5" i="6"/>
  <c r="D9" i="6"/>
  <c r="C9" i="6"/>
  <c r="E55" i="1"/>
  <c r="I60" i="1" s="1"/>
  <c r="D55" i="1"/>
  <c r="J60" i="1" s="1"/>
  <c r="C55" i="1"/>
  <c r="K60" i="1" s="1"/>
  <c r="L48" i="1"/>
  <c r="B67" i="1" s="1"/>
  <c r="L50" i="1"/>
  <c r="B65" i="1" s="1"/>
  <c r="L46" i="1"/>
  <c r="B69" i="1" s="1"/>
  <c r="L49" i="1"/>
  <c r="B66" i="1" s="1"/>
  <c r="L53" i="1"/>
  <c r="B62" i="1" s="1"/>
  <c r="L47" i="1"/>
  <c r="B68" i="1" s="1"/>
  <c r="L54" i="1"/>
  <c r="B61" i="1" s="1"/>
  <c r="L52" i="1"/>
  <c r="B63" i="1" s="1"/>
  <c r="L45" i="1"/>
  <c r="B70" i="1" s="1"/>
  <c r="K5" i="3"/>
  <c r="L55" i="1"/>
  <c r="B60" i="1" s="1"/>
  <c r="F55" i="1"/>
  <c r="H60" i="1" s="1"/>
  <c r="L39" i="1"/>
  <c r="L30" i="1"/>
  <c r="L34" i="1"/>
  <c r="L38" i="1"/>
  <c r="L32" i="1"/>
  <c r="L35" i="1"/>
  <c r="L40" i="1"/>
  <c r="B16" i="6" s="1"/>
  <c r="L33" i="1"/>
  <c r="L36" i="1"/>
  <c r="L37" i="1"/>
  <c r="J55" i="1"/>
  <c r="D60" i="1" s="1"/>
  <c r="G55" i="1"/>
  <c r="G60" i="1" s="1"/>
  <c r="K55" i="1"/>
  <c r="C60" i="1" s="1"/>
  <c r="H55" i="1"/>
  <c r="F60" i="1" s="1"/>
  <c r="I55" i="1"/>
  <c r="E60" i="1" s="1"/>
  <c r="C19" i="6" l="1"/>
  <c r="D20" i="6"/>
  <c r="C29" i="6"/>
  <c r="D29" i="6"/>
  <c r="D23" i="6"/>
  <c r="D25" i="6"/>
  <c r="D19" i="6"/>
  <c r="B20" i="6"/>
  <c r="D27" i="6"/>
  <c r="D21" i="6"/>
  <c r="C25" i="6"/>
  <c r="D22" i="6"/>
  <c r="B19" i="6"/>
  <c r="B21" i="6"/>
  <c r="C22" i="6"/>
  <c r="C27" i="6"/>
  <c r="C23" i="6"/>
  <c r="C26" i="6"/>
  <c r="B25" i="6"/>
  <c r="C21" i="6"/>
  <c r="D28" i="6"/>
  <c r="B24" i="6"/>
  <c r="D26" i="6"/>
  <c r="B29" i="6"/>
  <c r="C24" i="6"/>
  <c r="B27" i="6"/>
  <c r="C20" i="6"/>
  <c r="B22" i="6"/>
  <c r="D24" i="6"/>
  <c r="B23" i="6"/>
  <c r="B26" i="6"/>
  <c r="B28" i="6"/>
  <c r="C28" i="6"/>
  <c r="L5" i="3"/>
</calcChain>
</file>

<file path=xl/sharedStrings.xml><?xml version="1.0" encoding="utf-8"?>
<sst xmlns="http://schemas.openxmlformats.org/spreadsheetml/2006/main" count="119" uniqueCount="70">
  <si>
    <t>nm</t>
  </si>
  <si>
    <t>Angstroms</t>
  </si>
  <si>
    <t>cm^2 per V sec</t>
  </si>
  <si>
    <t>V</t>
  </si>
  <si>
    <t>Vacuum perm</t>
  </si>
  <si>
    <t>F/cm</t>
  </si>
  <si>
    <t>Angstrom</t>
  </si>
  <si>
    <t>cm</t>
  </si>
  <si>
    <t xml:space="preserve">L: Length </t>
  </si>
  <si>
    <t>W: Width</t>
  </si>
  <si>
    <t xml:space="preserve">Cox: </t>
  </si>
  <si>
    <t>F/cm^2</t>
  </si>
  <si>
    <t>Beta</t>
  </si>
  <si>
    <t>permittivity</t>
  </si>
  <si>
    <t>A/V^2</t>
  </si>
  <si>
    <t>Vgs</t>
  </si>
  <si>
    <t>Computed Parameters</t>
  </si>
  <si>
    <t>Steps in Vgs</t>
  </si>
  <si>
    <t>Vds</t>
  </si>
  <si>
    <t>Steps in Vds</t>
  </si>
  <si>
    <t>NMOS</t>
  </si>
  <si>
    <t>PMOS</t>
  </si>
  <si>
    <t>Ids (uA) - NMOS</t>
  </si>
  <si>
    <t>NMOS Parameter Sets</t>
  </si>
  <si>
    <t>Vmax (aka Vdd)</t>
  </si>
  <si>
    <t>Ids (uA) - PMOS</t>
  </si>
  <si>
    <t>PMOS Inverter</t>
  </si>
  <si>
    <t>Vds - NMOS</t>
  </si>
  <si>
    <t>PMOS Parameter Sets</t>
  </si>
  <si>
    <t>Vds=</t>
  </si>
  <si>
    <t>Vgs (V):</t>
  </si>
  <si>
    <t>Ids (uA):</t>
  </si>
  <si>
    <t>uA/V^2</t>
  </si>
  <si>
    <t>tox: Oxide thickness</t>
  </si>
  <si>
    <t>unitless</t>
  </si>
  <si>
    <t>Parameter</t>
  </si>
  <si>
    <t>Units</t>
  </si>
  <si>
    <t>Parameter Selection:</t>
  </si>
  <si>
    <t>Physical Parameters</t>
  </si>
  <si>
    <t>Process Name</t>
  </si>
  <si>
    <t>W/L Ratio</t>
  </si>
  <si>
    <t>L: Length</t>
  </si>
  <si>
    <r>
      <rPr>
        <sz val="11"/>
        <color theme="1"/>
        <rFont val="Calibri"/>
        <family val="2"/>
      </rPr>
      <t xml:space="preserve">λ: </t>
    </r>
    <r>
      <rPr>
        <sz val="11"/>
        <color theme="1"/>
        <rFont val="Calibri"/>
        <family val="2"/>
        <scheme val="minor"/>
      </rPr>
      <t>Lambda</t>
    </r>
  </si>
  <si>
    <r>
      <t>t</t>
    </r>
    <r>
      <rPr>
        <vertAlign val="subscript"/>
        <sz val="11"/>
        <color theme="1"/>
        <rFont val="Calibri"/>
        <family val="2"/>
        <scheme val="minor"/>
      </rPr>
      <t>ox</t>
    </r>
    <r>
      <rPr>
        <sz val="11"/>
        <color theme="1"/>
        <rFont val="Calibri"/>
        <family val="2"/>
        <scheme val="minor"/>
      </rPr>
      <t>: gate oxide</t>
    </r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</si>
  <si>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: mobility</t>
    </r>
  </si>
  <si>
    <r>
      <t>V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: threshold </t>
    </r>
  </si>
  <si>
    <r>
      <rPr>
        <sz val="11"/>
        <color theme="1"/>
        <rFont val="Calibri"/>
        <family val="2"/>
      </rPr>
      <t>ε</t>
    </r>
    <r>
      <rPr>
        <vertAlign val="subscript"/>
        <sz val="11"/>
        <color theme="1"/>
        <rFont val="Calibri"/>
        <family val="2"/>
      </rPr>
      <t>r</t>
    </r>
    <r>
      <rPr>
        <sz val="11"/>
        <color theme="1"/>
        <rFont val="Calibri"/>
        <family val="2"/>
      </rPr>
      <t xml:space="preserve">: </t>
    </r>
    <r>
      <rPr>
        <sz val="11"/>
        <color theme="1"/>
        <rFont val="Calibri"/>
        <family val="2"/>
        <scheme val="minor"/>
      </rPr>
      <t>relative perm thinox</t>
    </r>
  </si>
  <si>
    <t>Vin = Vgs for NMOS</t>
  </si>
  <si>
    <t>Technology Node</t>
  </si>
  <si>
    <t>AMI</t>
  </si>
  <si>
    <t>Book</t>
  </si>
  <si>
    <t>k'</t>
  </si>
  <si>
    <t>TSMC-like</t>
  </si>
  <si>
    <t>ND</t>
  </si>
  <si>
    <t>Attached Sheets do the following:</t>
  </si>
  <si>
    <t>Parameter Sets: Provides a place to input sets of NMOS and PMOS device characteristics</t>
  </si>
  <si>
    <t>LongChannel Model: The ideal Shockly model as described in book chap. 2.2</t>
  </si>
  <si>
    <t>You can enter new device characteristics in the yellow area.</t>
  </si>
  <si>
    <t>The yellow boxes allow you to select a device file from the Parameter Sets sheet (by number)</t>
  </si>
  <si>
    <t>Also you can specify the W/L ratio for both the N and P types</t>
  </si>
  <si>
    <t>The third graph overlays the selected N and P devices as if they were in series as in an inverter</t>
  </si>
  <si>
    <t>Fixed Vds: Graphs Ids vs Vgs for some fixed VDS value</t>
  </si>
  <si>
    <t xml:space="preserve">Enter the value you want in the yellow box. It should be one of those computed in the LongChannel Model </t>
  </si>
  <si>
    <t>VGT = Vdsat</t>
  </si>
  <si>
    <t>R</t>
  </si>
  <si>
    <t>Ohms</t>
  </si>
  <si>
    <t>Ids(ua)</t>
  </si>
  <si>
    <t>4R</t>
  </si>
  <si>
    <t>R/4</t>
  </si>
  <si>
    <t>Max 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</si>
</sst>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NMOS Device</a:t>
            </a:r>
          </a:p>
        </c:rich>
      </c:tx>
      <c:layout>
        <c:manualLayout>
          <c:xMode val="edge"/>
          <c:yMode val="edge"/>
          <c:x val="0.13826541274817136"/>
          <c:y val="0.14131502927990536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10"/>
          <c:order val="0"/>
          <c:tx>
            <c:strRef>
              <c:f>'LongChannel Model'!$L$29</c:f>
              <c:strCache>
                <c:ptCount val="1"/>
                <c:pt idx="0">
                  <c:v>5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Model'!$L$30:$L$40</c:f>
              <c:numCache>
                <c:formatCode>0.0</c:formatCode>
                <c:ptCount val="11"/>
                <c:pt idx="0">
                  <c:v>0</c:v>
                </c:pt>
                <c:pt idx="1">
                  <c:v>244.62506249999996</c:v>
                </c:pt>
                <c:pt idx="2">
                  <c:v>459.04949999999991</c:v>
                </c:pt>
                <c:pt idx="3">
                  <c:v>643.27331249999986</c:v>
                </c:pt>
                <c:pt idx="4">
                  <c:v>797.29649999999981</c:v>
                </c:pt>
                <c:pt idx="5">
                  <c:v>921.1190624999997</c:v>
                </c:pt>
                <c:pt idx="6">
                  <c:v>1014.7409999999998</c:v>
                </c:pt>
                <c:pt idx="7">
                  <c:v>1078.1623124999999</c:v>
                </c:pt>
                <c:pt idx="8">
                  <c:v>1111.3829999999998</c:v>
                </c:pt>
                <c:pt idx="9">
                  <c:v>1116.8191124999996</c:v>
                </c:pt>
                <c:pt idx="10">
                  <c:v>1116.8191124999996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'LongChannel Model'!$K$29</c:f>
              <c:strCache>
                <c:ptCount val="1"/>
                <c:pt idx="0">
                  <c:v>4.5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Model'!$K$30:$K$40</c:f>
              <c:numCache>
                <c:formatCode>0.0</c:formatCode>
                <c:ptCount val="11"/>
                <c:pt idx="0">
                  <c:v>0</c:v>
                </c:pt>
                <c:pt idx="1">
                  <c:v>214.42443749999995</c:v>
                </c:pt>
                <c:pt idx="2">
                  <c:v>398.6482499999999</c:v>
                </c:pt>
                <c:pt idx="3">
                  <c:v>552.67143749999991</c:v>
                </c:pt>
                <c:pt idx="4">
                  <c:v>676.4939999999998</c:v>
                </c:pt>
                <c:pt idx="5">
                  <c:v>770.11593749999986</c:v>
                </c:pt>
                <c:pt idx="6">
                  <c:v>833.53724999999986</c:v>
                </c:pt>
                <c:pt idx="7">
                  <c:v>866.7579374999998</c:v>
                </c:pt>
                <c:pt idx="8">
                  <c:v>872.19404999999983</c:v>
                </c:pt>
                <c:pt idx="9">
                  <c:v>872.19404999999983</c:v>
                </c:pt>
                <c:pt idx="10">
                  <c:v>872.19404999999983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'LongChannel Model'!$J$29</c:f>
              <c:strCache>
                <c:ptCount val="1"/>
                <c:pt idx="0">
                  <c:v>4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Model'!$J$30:$J$40</c:f>
              <c:numCache>
                <c:formatCode>0.0</c:formatCode>
                <c:ptCount val="11"/>
                <c:pt idx="0">
                  <c:v>0</c:v>
                </c:pt>
                <c:pt idx="1">
                  <c:v>184.22381249999995</c:v>
                </c:pt>
                <c:pt idx="2">
                  <c:v>338.2469999999999</c:v>
                </c:pt>
                <c:pt idx="3">
                  <c:v>462.06956249999996</c:v>
                </c:pt>
                <c:pt idx="4">
                  <c:v>555.69149999999991</c:v>
                </c:pt>
                <c:pt idx="5">
                  <c:v>619.1128124999999</c:v>
                </c:pt>
                <c:pt idx="6">
                  <c:v>652.33349999999984</c:v>
                </c:pt>
                <c:pt idx="7">
                  <c:v>657.76961249999977</c:v>
                </c:pt>
                <c:pt idx="8">
                  <c:v>657.76961249999977</c:v>
                </c:pt>
                <c:pt idx="9">
                  <c:v>657.76961249999977</c:v>
                </c:pt>
                <c:pt idx="10">
                  <c:v>657.76961249999977</c:v>
                </c:pt>
              </c:numCache>
            </c:numRef>
          </c:yVal>
          <c:smooth val="1"/>
        </c:ser>
        <c:ser>
          <c:idx val="7"/>
          <c:order val="3"/>
          <c:tx>
            <c:strRef>
              <c:f>'LongChannel Model'!$I$29</c:f>
              <c:strCache>
                <c:ptCount val="1"/>
                <c:pt idx="0">
                  <c:v>3.5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Model'!$I$30:$I$40</c:f>
              <c:numCache>
                <c:formatCode>0.0</c:formatCode>
                <c:ptCount val="11"/>
                <c:pt idx="0">
                  <c:v>0</c:v>
                </c:pt>
                <c:pt idx="1">
                  <c:v>154.02318749999998</c:v>
                </c:pt>
                <c:pt idx="2">
                  <c:v>277.84574999999995</c:v>
                </c:pt>
                <c:pt idx="3">
                  <c:v>371.4676874999999</c:v>
                </c:pt>
                <c:pt idx="4">
                  <c:v>434.8889999999999</c:v>
                </c:pt>
                <c:pt idx="5">
                  <c:v>468.10968749999984</c:v>
                </c:pt>
                <c:pt idx="6">
                  <c:v>473.54579999999987</c:v>
                </c:pt>
                <c:pt idx="7">
                  <c:v>473.54579999999987</c:v>
                </c:pt>
                <c:pt idx="8">
                  <c:v>473.54579999999987</c:v>
                </c:pt>
                <c:pt idx="9">
                  <c:v>473.54579999999987</c:v>
                </c:pt>
                <c:pt idx="10">
                  <c:v>473.54579999999987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'LongChannel Model'!$H$29</c:f>
              <c:strCache>
                <c:ptCount val="1"/>
                <c:pt idx="0">
                  <c:v>3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Model'!$H$30:$H$40</c:f>
              <c:numCache>
                <c:formatCode>0.0</c:formatCode>
                <c:ptCount val="11"/>
                <c:pt idx="0">
                  <c:v>0</c:v>
                </c:pt>
                <c:pt idx="1">
                  <c:v>123.82256249999998</c:v>
                </c:pt>
                <c:pt idx="2">
                  <c:v>217.44449999999995</c:v>
                </c:pt>
                <c:pt idx="3">
                  <c:v>280.86581249999995</c:v>
                </c:pt>
                <c:pt idx="4">
                  <c:v>314.08649999999989</c:v>
                </c:pt>
                <c:pt idx="5">
                  <c:v>319.52261249999992</c:v>
                </c:pt>
                <c:pt idx="6">
                  <c:v>319.52261249999992</c:v>
                </c:pt>
                <c:pt idx="7">
                  <c:v>319.52261249999992</c:v>
                </c:pt>
                <c:pt idx="8">
                  <c:v>319.52261249999992</c:v>
                </c:pt>
                <c:pt idx="9">
                  <c:v>319.52261249999992</c:v>
                </c:pt>
                <c:pt idx="10">
                  <c:v>319.52261249999992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'LongChannel Model'!$G$29</c:f>
              <c:strCache>
                <c:ptCount val="1"/>
                <c:pt idx="0">
                  <c:v>2.5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Model'!$G$30:$G$40</c:f>
              <c:numCache>
                <c:formatCode>0.0</c:formatCode>
                <c:ptCount val="11"/>
                <c:pt idx="0">
                  <c:v>0</c:v>
                </c:pt>
                <c:pt idx="1">
                  <c:v>93.621937499999987</c:v>
                </c:pt>
                <c:pt idx="2">
                  <c:v>157.04324999999997</c:v>
                </c:pt>
                <c:pt idx="3">
                  <c:v>190.26393749999997</c:v>
                </c:pt>
                <c:pt idx="4">
                  <c:v>195.70004999999998</c:v>
                </c:pt>
                <c:pt idx="5">
                  <c:v>195.70004999999998</c:v>
                </c:pt>
                <c:pt idx="6">
                  <c:v>195.70004999999998</c:v>
                </c:pt>
                <c:pt idx="7">
                  <c:v>195.70004999999998</c:v>
                </c:pt>
                <c:pt idx="8">
                  <c:v>195.70004999999998</c:v>
                </c:pt>
                <c:pt idx="9">
                  <c:v>195.70004999999998</c:v>
                </c:pt>
                <c:pt idx="10">
                  <c:v>195.70004999999998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'LongChannel Model'!$F$29</c:f>
              <c:strCache>
                <c:ptCount val="1"/>
                <c:pt idx="0">
                  <c:v>2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Model'!$F$30:$F$40</c:f>
              <c:numCache>
                <c:formatCode>0.0</c:formatCode>
                <c:ptCount val="11"/>
                <c:pt idx="0">
                  <c:v>0</c:v>
                </c:pt>
                <c:pt idx="1">
                  <c:v>63.421312499999992</c:v>
                </c:pt>
                <c:pt idx="2">
                  <c:v>96.641999999999996</c:v>
                </c:pt>
                <c:pt idx="3">
                  <c:v>102.07811249999999</c:v>
                </c:pt>
                <c:pt idx="4">
                  <c:v>102.07811249999999</c:v>
                </c:pt>
                <c:pt idx="5">
                  <c:v>102.07811249999999</c:v>
                </c:pt>
                <c:pt idx="6">
                  <c:v>102.07811249999999</c:v>
                </c:pt>
                <c:pt idx="7">
                  <c:v>102.07811249999999</c:v>
                </c:pt>
                <c:pt idx="8">
                  <c:v>102.07811249999999</c:v>
                </c:pt>
                <c:pt idx="9">
                  <c:v>102.07811249999999</c:v>
                </c:pt>
                <c:pt idx="10">
                  <c:v>102.07811249999999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'LongChannel Model'!$E$29</c:f>
              <c:strCache>
                <c:ptCount val="1"/>
                <c:pt idx="0">
                  <c:v>1.5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Model'!$E$30:$E$40</c:f>
              <c:numCache>
                <c:formatCode>0.0</c:formatCode>
                <c:ptCount val="11"/>
                <c:pt idx="0">
                  <c:v>0</c:v>
                </c:pt>
                <c:pt idx="1">
                  <c:v>33.220687499999997</c:v>
                </c:pt>
                <c:pt idx="2">
                  <c:v>38.656800000000004</c:v>
                </c:pt>
                <c:pt idx="3">
                  <c:v>38.656800000000004</c:v>
                </c:pt>
                <c:pt idx="4">
                  <c:v>38.656800000000004</c:v>
                </c:pt>
                <c:pt idx="5">
                  <c:v>38.656800000000004</c:v>
                </c:pt>
                <c:pt idx="6">
                  <c:v>38.656800000000004</c:v>
                </c:pt>
                <c:pt idx="7">
                  <c:v>38.656800000000004</c:v>
                </c:pt>
                <c:pt idx="8">
                  <c:v>38.656800000000004</c:v>
                </c:pt>
                <c:pt idx="9">
                  <c:v>38.656800000000004</c:v>
                </c:pt>
                <c:pt idx="10">
                  <c:v>38.656800000000004</c:v>
                </c:pt>
              </c:numCache>
            </c:numRef>
          </c:yVal>
          <c:smooth val="1"/>
        </c:ser>
        <c:ser>
          <c:idx val="2"/>
          <c:order val="8"/>
          <c:tx>
            <c:strRef>
              <c:f>'LongChannel Model'!$D$29</c:f>
              <c:strCache>
                <c:ptCount val="1"/>
                <c:pt idx="0">
                  <c:v>1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Model'!$D$30:$D$40</c:f>
              <c:numCache>
                <c:formatCode>0.0</c:formatCode>
                <c:ptCount val="11"/>
                <c:pt idx="0">
                  <c:v>0</c:v>
                </c:pt>
                <c:pt idx="1">
                  <c:v>5.436112500000001</c:v>
                </c:pt>
                <c:pt idx="2">
                  <c:v>5.436112500000001</c:v>
                </c:pt>
                <c:pt idx="3">
                  <c:v>5.436112500000001</c:v>
                </c:pt>
                <c:pt idx="4">
                  <c:v>5.436112500000001</c:v>
                </c:pt>
                <c:pt idx="5">
                  <c:v>5.436112500000001</c:v>
                </c:pt>
                <c:pt idx="6">
                  <c:v>5.436112500000001</c:v>
                </c:pt>
                <c:pt idx="7">
                  <c:v>5.436112500000001</c:v>
                </c:pt>
                <c:pt idx="8">
                  <c:v>5.436112500000001</c:v>
                </c:pt>
                <c:pt idx="9">
                  <c:v>5.436112500000001</c:v>
                </c:pt>
                <c:pt idx="10">
                  <c:v>5.436112500000001</c:v>
                </c:pt>
              </c:numCache>
            </c:numRef>
          </c:yVal>
          <c:smooth val="1"/>
        </c:ser>
        <c:ser>
          <c:idx val="1"/>
          <c:order val="9"/>
          <c:tx>
            <c:strRef>
              <c:f>'LongChannel Model'!$C$29</c:f>
              <c:strCache>
                <c:ptCount val="1"/>
                <c:pt idx="0">
                  <c:v>0.5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Model'!$C$30:$C$40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0"/>
          <c:order val="10"/>
          <c:tx>
            <c:strRef>
              <c:f>'LongChannel Model'!$B$29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Model'!$B$30:$B$40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90912"/>
        <c:axId val="174797184"/>
      </c:scatterChart>
      <c:valAx>
        <c:axId val="174790912"/>
        <c:scaling>
          <c:orientation val="minMax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Vds (Volts)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4797184"/>
        <c:crosses val="autoZero"/>
        <c:crossBetween val="midCat"/>
      </c:valAx>
      <c:valAx>
        <c:axId val="174797184"/>
        <c:scaling>
          <c:orientation val="minMax"/>
          <c:max val="1200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Ids (uA)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74790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688659607204267"/>
          <c:y val="0.16073337925694012"/>
          <c:w val="8.9164136614584624E-2"/>
          <c:h val="0.579707308028318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PMOS Device</a:t>
            </a:r>
          </a:p>
        </c:rich>
      </c:tx>
      <c:layout>
        <c:manualLayout>
          <c:xMode val="edge"/>
          <c:yMode val="edge"/>
          <c:x val="0.55870743211371687"/>
          <c:y val="0.7656477438136827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416742124254994E-2"/>
          <c:y val="0.17018670701096861"/>
          <c:w val="0.76136602242862128"/>
          <c:h val="0.750453300324358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'LongChannel Model'!$B$44</c:f>
              <c:strCache>
                <c:ptCount val="1"/>
                <c:pt idx="0">
                  <c:v>0.00</c:v>
                </c:pt>
              </c:strCache>
            </c:strRef>
          </c:tx>
          <c:xVal>
            <c:numRef>
              <c:f>'LongChannel Model'!$A$45:$A$55</c:f>
              <c:numCache>
                <c:formatCode>General</c:formatCode>
                <c:ptCount val="11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</c:numCache>
            </c:numRef>
          </c:xVal>
          <c:yVal>
            <c:numRef>
              <c:f>'LongChannel Model'!$B$45:$B$55</c:f>
              <c:numCache>
                <c:formatCode>0.0</c:formatCode>
                <c:ptCount val="11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'LongChannel Model'!$C$44</c:f>
              <c:strCache>
                <c:ptCount val="1"/>
                <c:pt idx="0">
                  <c:v>-0.50</c:v>
                </c:pt>
              </c:strCache>
            </c:strRef>
          </c:tx>
          <c:xVal>
            <c:numRef>
              <c:f>'LongChannel Model'!$A$45:$A$55</c:f>
              <c:numCache>
                <c:formatCode>General</c:formatCode>
                <c:ptCount val="11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</c:numCache>
            </c:numRef>
          </c:xVal>
          <c:yVal>
            <c:numRef>
              <c:f>'LongChannel Model'!$C$45:$C$55</c:f>
              <c:numCache>
                <c:formatCode>0.0</c:formatCode>
                <c:ptCount val="11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'LongChannel Model'!$D$44</c:f>
              <c:strCache>
                <c:ptCount val="1"/>
                <c:pt idx="0">
                  <c:v>-1.00</c:v>
                </c:pt>
              </c:strCache>
            </c:strRef>
          </c:tx>
          <c:xVal>
            <c:numRef>
              <c:f>'LongChannel Model'!$A$45:$A$55</c:f>
              <c:numCache>
                <c:formatCode>General</c:formatCode>
                <c:ptCount val="11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</c:numCache>
            </c:numRef>
          </c:xVal>
          <c:yVal>
            <c:numRef>
              <c:f>'LongChannel Model'!$D$45:$D$55</c:f>
              <c:numCache>
                <c:formatCode>0.0</c:formatCode>
                <c:ptCount val="11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'LongChannel Model'!$E$44</c:f>
              <c:strCache>
                <c:ptCount val="1"/>
                <c:pt idx="0">
                  <c:v>-1.50</c:v>
                </c:pt>
              </c:strCache>
            </c:strRef>
          </c:tx>
          <c:xVal>
            <c:numRef>
              <c:f>'LongChannel Model'!$A$45:$A$55</c:f>
              <c:numCache>
                <c:formatCode>General</c:formatCode>
                <c:ptCount val="11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</c:numCache>
            </c:numRef>
          </c:xVal>
          <c:yVal>
            <c:numRef>
              <c:f>'LongChannel Model'!$E$45:$E$55</c:f>
              <c:numCache>
                <c:formatCode>0.0</c:formatCode>
                <c:ptCount val="11"/>
                <c:pt idx="0" formatCode="0.00">
                  <c:v>0</c:v>
                </c:pt>
                <c:pt idx="1">
                  <c:v>-33.220687500000004</c:v>
                </c:pt>
                <c:pt idx="2">
                  <c:v>-38.656800000000011</c:v>
                </c:pt>
                <c:pt idx="3">
                  <c:v>-38.656800000000011</c:v>
                </c:pt>
                <c:pt idx="4">
                  <c:v>-38.656800000000011</c:v>
                </c:pt>
                <c:pt idx="5">
                  <c:v>-38.656800000000011</c:v>
                </c:pt>
                <c:pt idx="6">
                  <c:v>-38.656800000000011</c:v>
                </c:pt>
                <c:pt idx="7">
                  <c:v>-38.656800000000011</c:v>
                </c:pt>
                <c:pt idx="8">
                  <c:v>-38.656800000000011</c:v>
                </c:pt>
                <c:pt idx="9">
                  <c:v>-38.656800000000011</c:v>
                </c:pt>
                <c:pt idx="10">
                  <c:v>-38.656800000000011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'LongChannel Model'!$F$44</c:f>
              <c:strCache>
                <c:ptCount val="1"/>
                <c:pt idx="0">
                  <c:v>-2.00</c:v>
                </c:pt>
              </c:strCache>
            </c:strRef>
          </c:tx>
          <c:xVal>
            <c:numRef>
              <c:f>'LongChannel Model'!$A$45:$A$55</c:f>
              <c:numCache>
                <c:formatCode>General</c:formatCode>
                <c:ptCount val="11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</c:numCache>
            </c:numRef>
          </c:xVal>
          <c:yVal>
            <c:numRef>
              <c:f>'LongChannel Model'!$F$45:$F$55</c:f>
              <c:numCache>
                <c:formatCode>0.0</c:formatCode>
                <c:ptCount val="11"/>
                <c:pt idx="0" formatCode="0.00">
                  <c:v>0</c:v>
                </c:pt>
                <c:pt idx="1">
                  <c:v>-63.421312500000006</c:v>
                </c:pt>
                <c:pt idx="2">
                  <c:v>-96.64200000000001</c:v>
                </c:pt>
                <c:pt idx="3">
                  <c:v>-102.07811250000002</c:v>
                </c:pt>
                <c:pt idx="4">
                  <c:v>-102.07811250000002</c:v>
                </c:pt>
                <c:pt idx="5">
                  <c:v>-102.07811250000002</c:v>
                </c:pt>
                <c:pt idx="6">
                  <c:v>-102.07811250000002</c:v>
                </c:pt>
                <c:pt idx="7">
                  <c:v>-102.07811250000002</c:v>
                </c:pt>
                <c:pt idx="8">
                  <c:v>-102.07811250000002</c:v>
                </c:pt>
                <c:pt idx="9">
                  <c:v>-102.07811250000002</c:v>
                </c:pt>
                <c:pt idx="10">
                  <c:v>-102.07811250000002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'LongChannel Model'!$G$44</c:f>
              <c:strCache>
                <c:ptCount val="1"/>
                <c:pt idx="0">
                  <c:v>-2.50</c:v>
                </c:pt>
              </c:strCache>
            </c:strRef>
          </c:tx>
          <c:xVal>
            <c:numRef>
              <c:f>'LongChannel Model'!$A$45:$A$55</c:f>
              <c:numCache>
                <c:formatCode>General</c:formatCode>
                <c:ptCount val="11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</c:numCache>
            </c:numRef>
          </c:xVal>
          <c:yVal>
            <c:numRef>
              <c:f>'LongChannel Model'!$G$45:$G$55</c:f>
              <c:numCache>
                <c:formatCode>0.0</c:formatCode>
                <c:ptCount val="11"/>
                <c:pt idx="0" formatCode="0.00">
                  <c:v>0</c:v>
                </c:pt>
                <c:pt idx="1">
                  <c:v>-93.621937500000016</c:v>
                </c:pt>
                <c:pt idx="2">
                  <c:v>-157.04325000000003</c:v>
                </c:pt>
                <c:pt idx="3">
                  <c:v>-190.26393750000003</c:v>
                </c:pt>
                <c:pt idx="4">
                  <c:v>-195.70005000000003</c:v>
                </c:pt>
                <c:pt idx="5">
                  <c:v>-195.70005000000003</c:v>
                </c:pt>
                <c:pt idx="6">
                  <c:v>-195.70005000000003</c:v>
                </c:pt>
                <c:pt idx="7">
                  <c:v>-195.70005000000003</c:v>
                </c:pt>
                <c:pt idx="8">
                  <c:v>-195.70005000000003</c:v>
                </c:pt>
                <c:pt idx="9">
                  <c:v>-195.70005000000003</c:v>
                </c:pt>
                <c:pt idx="10">
                  <c:v>-195.70005000000003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'LongChannel Model'!$H$44</c:f>
              <c:strCache>
                <c:ptCount val="1"/>
                <c:pt idx="0">
                  <c:v>-3.00</c:v>
                </c:pt>
              </c:strCache>
            </c:strRef>
          </c:tx>
          <c:xVal>
            <c:numRef>
              <c:f>'LongChannel Model'!$A$45:$A$55</c:f>
              <c:numCache>
                <c:formatCode>General</c:formatCode>
                <c:ptCount val="11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</c:numCache>
            </c:numRef>
          </c:xVal>
          <c:yVal>
            <c:numRef>
              <c:f>'LongChannel Model'!$H$45:$H$55</c:f>
              <c:numCache>
                <c:formatCode>0.0</c:formatCode>
                <c:ptCount val="11"/>
                <c:pt idx="0" formatCode="0.00">
                  <c:v>0</c:v>
                </c:pt>
                <c:pt idx="1">
                  <c:v>-123.8225625</c:v>
                </c:pt>
                <c:pt idx="2">
                  <c:v>-217.44450000000001</c:v>
                </c:pt>
                <c:pt idx="3">
                  <c:v>-280.8658125</c:v>
                </c:pt>
                <c:pt idx="4">
                  <c:v>-314.0865</c:v>
                </c:pt>
                <c:pt idx="5">
                  <c:v>-319.52261249999998</c:v>
                </c:pt>
                <c:pt idx="6">
                  <c:v>-319.52261249999998</c:v>
                </c:pt>
                <c:pt idx="7">
                  <c:v>-319.52261249999998</c:v>
                </c:pt>
                <c:pt idx="8">
                  <c:v>-319.52261249999998</c:v>
                </c:pt>
                <c:pt idx="9">
                  <c:v>-319.52261249999998</c:v>
                </c:pt>
                <c:pt idx="10">
                  <c:v>-319.52261249999998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'LongChannel Model'!$I$44</c:f>
              <c:strCache>
                <c:ptCount val="1"/>
                <c:pt idx="0">
                  <c:v>-3.50</c:v>
                </c:pt>
              </c:strCache>
            </c:strRef>
          </c:tx>
          <c:xVal>
            <c:numRef>
              <c:f>'LongChannel Model'!$A$45:$A$55</c:f>
              <c:numCache>
                <c:formatCode>General</c:formatCode>
                <c:ptCount val="11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</c:numCache>
            </c:numRef>
          </c:xVal>
          <c:yVal>
            <c:numRef>
              <c:f>'LongChannel Model'!$I$45:$I$55</c:f>
              <c:numCache>
                <c:formatCode>0.0</c:formatCode>
                <c:ptCount val="11"/>
                <c:pt idx="0" formatCode="0.00">
                  <c:v>0</c:v>
                </c:pt>
                <c:pt idx="1">
                  <c:v>-154.02318750000001</c:v>
                </c:pt>
                <c:pt idx="2">
                  <c:v>-277.84575000000001</c:v>
                </c:pt>
                <c:pt idx="3">
                  <c:v>-371.46768750000001</c:v>
                </c:pt>
                <c:pt idx="4">
                  <c:v>-434.88900000000001</c:v>
                </c:pt>
                <c:pt idx="5">
                  <c:v>-468.10968750000001</c:v>
                </c:pt>
                <c:pt idx="6">
                  <c:v>-473.54579999999999</c:v>
                </c:pt>
                <c:pt idx="7">
                  <c:v>-473.54579999999999</c:v>
                </c:pt>
                <c:pt idx="8">
                  <c:v>-473.54579999999999</c:v>
                </c:pt>
                <c:pt idx="9">
                  <c:v>-473.54579999999999</c:v>
                </c:pt>
                <c:pt idx="10">
                  <c:v>-473.54579999999999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'LongChannel Model'!$J$44</c:f>
              <c:strCache>
                <c:ptCount val="1"/>
                <c:pt idx="0">
                  <c:v>-4.00</c:v>
                </c:pt>
              </c:strCache>
            </c:strRef>
          </c:tx>
          <c:xVal>
            <c:numRef>
              <c:f>'LongChannel Model'!$A$45:$A$55</c:f>
              <c:numCache>
                <c:formatCode>General</c:formatCode>
                <c:ptCount val="11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</c:numCache>
            </c:numRef>
          </c:xVal>
          <c:yVal>
            <c:numRef>
              <c:f>'LongChannel Model'!$J$45:$J$55</c:f>
              <c:numCache>
                <c:formatCode>0.0</c:formatCode>
                <c:ptCount val="11"/>
                <c:pt idx="0" formatCode="0.00">
                  <c:v>0</c:v>
                </c:pt>
                <c:pt idx="1">
                  <c:v>-184.22381250000001</c:v>
                </c:pt>
                <c:pt idx="2">
                  <c:v>-338.24700000000001</c:v>
                </c:pt>
                <c:pt idx="3">
                  <c:v>-462.06956250000002</c:v>
                </c:pt>
                <c:pt idx="4">
                  <c:v>-555.69150000000002</c:v>
                </c:pt>
                <c:pt idx="5">
                  <c:v>-619.11281250000002</c:v>
                </c:pt>
                <c:pt idx="6">
                  <c:v>-652.33349999999996</c:v>
                </c:pt>
                <c:pt idx="7">
                  <c:v>-657.76961249999999</c:v>
                </c:pt>
                <c:pt idx="8">
                  <c:v>-657.76961249999999</c:v>
                </c:pt>
                <c:pt idx="9">
                  <c:v>-657.76961249999999</c:v>
                </c:pt>
                <c:pt idx="10">
                  <c:v>-657.76961249999999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'LongChannel Model'!$K$44</c:f>
              <c:strCache>
                <c:ptCount val="1"/>
                <c:pt idx="0">
                  <c:v>-4.50</c:v>
                </c:pt>
              </c:strCache>
            </c:strRef>
          </c:tx>
          <c:xVal>
            <c:numRef>
              <c:f>'LongChannel Model'!$A$45:$A$55</c:f>
              <c:numCache>
                <c:formatCode>General</c:formatCode>
                <c:ptCount val="11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</c:numCache>
            </c:numRef>
          </c:xVal>
          <c:yVal>
            <c:numRef>
              <c:f>'LongChannel Model'!$K$45:$K$55</c:f>
              <c:numCache>
                <c:formatCode>0.0</c:formatCode>
                <c:ptCount val="11"/>
                <c:pt idx="0" formatCode="0.00">
                  <c:v>0</c:v>
                </c:pt>
                <c:pt idx="1">
                  <c:v>-214.42443750000001</c:v>
                </c:pt>
                <c:pt idx="2">
                  <c:v>-398.64825000000002</c:v>
                </c:pt>
                <c:pt idx="3">
                  <c:v>-552.67143750000002</c:v>
                </c:pt>
                <c:pt idx="4">
                  <c:v>-676.49400000000003</c:v>
                </c:pt>
                <c:pt idx="5">
                  <c:v>-770.11593749999997</c:v>
                </c:pt>
                <c:pt idx="6">
                  <c:v>-833.53725000000009</c:v>
                </c:pt>
                <c:pt idx="7">
                  <c:v>-866.75793750000003</c:v>
                </c:pt>
                <c:pt idx="8">
                  <c:v>-872.19405000000006</c:v>
                </c:pt>
                <c:pt idx="9">
                  <c:v>-872.19405000000006</c:v>
                </c:pt>
                <c:pt idx="10">
                  <c:v>-872.19405000000006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'LongChannel Model'!$L$44</c:f>
              <c:strCache>
                <c:ptCount val="1"/>
                <c:pt idx="0">
                  <c:v>-5.00</c:v>
                </c:pt>
              </c:strCache>
            </c:strRef>
          </c:tx>
          <c:xVal>
            <c:numRef>
              <c:f>'LongChannel Model'!$A$45:$A$55</c:f>
              <c:numCache>
                <c:formatCode>General</c:formatCode>
                <c:ptCount val="11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</c:numCache>
            </c:numRef>
          </c:xVal>
          <c:yVal>
            <c:numRef>
              <c:f>'LongChannel Model'!$L$45:$L$55</c:f>
              <c:numCache>
                <c:formatCode>0.0</c:formatCode>
                <c:ptCount val="11"/>
                <c:pt idx="0" formatCode="0.00">
                  <c:v>0</c:v>
                </c:pt>
                <c:pt idx="1">
                  <c:v>-244.62506250000001</c:v>
                </c:pt>
                <c:pt idx="2">
                  <c:v>-459.04950000000002</c:v>
                </c:pt>
                <c:pt idx="3">
                  <c:v>-643.27331249999997</c:v>
                </c:pt>
                <c:pt idx="4">
                  <c:v>-797.29650000000004</c:v>
                </c:pt>
                <c:pt idx="5">
                  <c:v>-921.11906250000004</c:v>
                </c:pt>
                <c:pt idx="6">
                  <c:v>-1014.741</c:v>
                </c:pt>
                <c:pt idx="7">
                  <c:v>-1078.1623125000001</c:v>
                </c:pt>
                <c:pt idx="8">
                  <c:v>-1111.383</c:v>
                </c:pt>
                <c:pt idx="9">
                  <c:v>-1116.8191125000001</c:v>
                </c:pt>
                <c:pt idx="10">
                  <c:v>-1116.8191125000001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854912"/>
        <c:axId val="174856832"/>
      </c:scatterChart>
      <c:valAx>
        <c:axId val="174854912"/>
        <c:scaling>
          <c:orientation val="minMax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 anchor="t" anchorCtr="1"/>
              <a:lstStyle/>
              <a:p>
                <a:pPr>
                  <a:defRPr sz="1400"/>
                </a:pPr>
                <a:r>
                  <a:rPr lang="en-US" sz="1400"/>
                  <a:t>Vds (Volts)</a:t>
                </a:r>
              </a:p>
            </c:rich>
          </c:tx>
          <c:layout>
            <c:manualLayout>
              <c:xMode val="edge"/>
              <c:yMode val="edge"/>
              <c:x val="0.42598607712726944"/>
              <c:y val="7.1133193503650466E-2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crossAx val="174856832"/>
        <c:crosses val="autoZero"/>
        <c:crossBetween val="midCat"/>
      </c:valAx>
      <c:valAx>
        <c:axId val="174856832"/>
        <c:scaling>
          <c:orientation val="minMax"/>
          <c:max val="0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Ids (uA)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high"/>
        <c:crossAx val="174854912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5.3881827318536725E-2"/>
          <c:y val="0.29615858061410444"/>
          <c:w val="0.10632136263384176"/>
          <c:h val="0.57907437334525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Inverter</a:t>
            </a:r>
          </a:p>
        </c:rich>
      </c:tx>
      <c:layout>
        <c:manualLayout>
          <c:xMode val="edge"/>
          <c:yMode val="edge"/>
          <c:x val="0.38140547478587122"/>
          <c:y val="0.13406194616547723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10"/>
          <c:order val="0"/>
          <c:tx>
            <c:strRef>
              <c:f>'LongChannel Model'!$L$29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</c:spPr>
          </c:marker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Model'!$L$30:$L$40</c:f>
              <c:numCache>
                <c:formatCode>0.0</c:formatCode>
                <c:ptCount val="11"/>
                <c:pt idx="0">
                  <c:v>0</c:v>
                </c:pt>
                <c:pt idx="1">
                  <c:v>244.62506249999996</c:v>
                </c:pt>
                <c:pt idx="2">
                  <c:v>459.04949999999991</c:v>
                </c:pt>
                <c:pt idx="3">
                  <c:v>643.27331249999986</c:v>
                </c:pt>
                <c:pt idx="4">
                  <c:v>797.29649999999981</c:v>
                </c:pt>
                <c:pt idx="5">
                  <c:v>921.1190624999997</c:v>
                </c:pt>
                <c:pt idx="6">
                  <c:v>1014.7409999999998</c:v>
                </c:pt>
                <c:pt idx="7">
                  <c:v>1078.1623124999999</c:v>
                </c:pt>
                <c:pt idx="8">
                  <c:v>1111.3829999999998</c:v>
                </c:pt>
                <c:pt idx="9">
                  <c:v>1116.8191124999996</c:v>
                </c:pt>
                <c:pt idx="10">
                  <c:v>1116.8191124999996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'LongChannel Model'!$K$29</c:f>
              <c:strCache>
                <c:ptCount val="1"/>
                <c:pt idx="0">
                  <c:v>4.5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Model'!$K$30:$K$40</c:f>
              <c:numCache>
                <c:formatCode>0.0</c:formatCode>
                <c:ptCount val="11"/>
                <c:pt idx="0">
                  <c:v>0</c:v>
                </c:pt>
                <c:pt idx="1">
                  <c:v>214.42443749999995</c:v>
                </c:pt>
                <c:pt idx="2">
                  <c:v>398.6482499999999</c:v>
                </c:pt>
                <c:pt idx="3">
                  <c:v>552.67143749999991</c:v>
                </c:pt>
                <c:pt idx="4">
                  <c:v>676.4939999999998</c:v>
                </c:pt>
                <c:pt idx="5">
                  <c:v>770.11593749999986</c:v>
                </c:pt>
                <c:pt idx="6">
                  <c:v>833.53724999999986</c:v>
                </c:pt>
                <c:pt idx="7">
                  <c:v>866.7579374999998</c:v>
                </c:pt>
                <c:pt idx="8">
                  <c:v>872.19404999999983</c:v>
                </c:pt>
                <c:pt idx="9">
                  <c:v>872.19404999999983</c:v>
                </c:pt>
                <c:pt idx="10">
                  <c:v>872.19404999999983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'LongChannel Model'!$J$29</c:f>
              <c:strCache>
                <c:ptCount val="1"/>
                <c:pt idx="0">
                  <c:v>4</c:v>
                </c:pt>
              </c:strCache>
            </c:strRef>
          </c:tx>
          <c:marker>
            <c:symbol val="dash"/>
            <c:size val="7"/>
            <c:spPr>
              <a:solidFill>
                <a:srgbClr val="00B050"/>
              </a:solidFill>
            </c:spPr>
          </c:marker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Model'!$J$30:$J$40</c:f>
              <c:numCache>
                <c:formatCode>0.0</c:formatCode>
                <c:ptCount val="11"/>
                <c:pt idx="0">
                  <c:v>0</c:v>
                </c:pt>
                <c:pt idx="1">
                  <c:v>184.22381249999995</c:v>
                </c:pt>
                <c:pt idx="2">
                  <c:v>338.2469999999999</c:v>
                </c:pt>
                <c:pt idx="3">
                  <c:v>462.06956249999996</c:v>
                </c:pt>
                <c:pt idx="4">
                  <c:v>555.69149999999991</c:v>
                </c:pt>
                <c:pt idx="5">
                  <c:v>619.1128124999999</c:v>
                </c:pt>
                <c:pt idx="6">
                  <c:v>652.33349999999984</c:v>
                </c:pt>
                <c:pt idx="7">
                  <c:v>657.76961249999977</c:v>
                </c:pt>
                <c:pt idx="8">
                  <c:v>657.76961249999977</c:v>
                </c:pt>
                <c:pt idx="9">
                  <c:v>657.76961249999977</c:v>
                </c:pt>
                <c:pt idx="10">
                  <c:v>657.76961249999977</c:v>
                </c:pt>
              </c:numCache>
            </c:numRef>
          </c:yVal>
          <c:smooth val="1"/>
        </c:ser>
        <c:ser>
          <c:idx val="7"/>
          <c:order val="3"/>
          <c:tx>
            <c:strRef>
              <c:f>'LongChannel Model'!$I$29</c:f>
              <c:strCache>
                <c:ptCount val="1"/>
                <c:pt idx="0">
                  <c:v>3.5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Model'!$I$30:$I$40</c:f>
              <c:numCache>
                <c:formatCode>0.0</c:formatCode>
                <c:ptCount val="11"/>
                <c:pt idx="0">
                  <c:v>0</c:v>
                </c:pt>
                <c:pt idx="1">
                  <c:v>154.02318749999998</c:v>
                </c:pt>
                <c:pt idx="2">
                  <c:v>277.84574999999995</c:v>
                </c:pt>
                <c:pt idx="3">
                  <c:v>371.4676874999999</c:v>
                </c:pt>
                <c:pt idx="4">
                  <c:v>434.8889999999999</c:v>
                </c:pt>
                <c:pt idx="5">
                  <c:v>468.10968749999984</c:v>
                </c:pt>
                <c:pt idx="6">
                  <c:v>473.54579999999987</c:v>
                </c:pt>
                <c:pt idx="7">
                  <c:v>473.54579999999987</c:v>
                </c:pt>
                <c:pt idx="8">
                  <c:v>473.54579999999987</c:v>
                </c:pt>
                <c:pt idx="9">
                  <c:v>473.54579999999987</c:v>
                </c:pt>
                <c:pt idx="10">
                  <c:v>473.54579999999987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'LongChannel Model'!$H$29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Model'!$H$30:$H$40</c:f>
              <c:numCache>
                <c:formatCode>0.0</c:formatCode>
                <c:ptCount val="11"/>
                <c:pt idx="0">
                  <c:v>0</c:v>
                </c:pt>
                <c:pt idx="1">
                  <c:v>123.82256249999998</c:v>
                </c:pt>
                <c:pt idx="2">
                  <c:v>217.44449999999995</c:v>
                </c:pt>
                <c:pt idx="3">
                  <c:v>280.86581249999995</c:v>
                </c:pt>
                <c:pt idx="4">
                  <c:v>314.08649999999989</c:v>
                </c:pt>
                <c:pt idx="5">
                  <c:v>319.52261249999992</c:v>
                </c:pt>
                <c:pt idx="6">
                  <c:v>319.52261249999992</c:v>
                </c:pt>
                <c:pt idx="7">
                  <c:v>319.52261249999992</c:v>
                </c:pt>
                <c:pt idx="8">
                  <c:v>319.52261249999992</c:v>
                </c:pt>
                <c:pt idx="9">
                  <c:v>319.52261249999992</c:v>
                </c:pt>
                <c:pt idx="10">
                  <c:v>319.52261249999992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'LongChannel Model'!$G$29</c:f>
              <c:strCache>
                <c:ptCount val="1"/>
                <c:pt idx="0">
                  <c:v>2.5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</c:spPr>
          </c:marker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Model'!$G$30:$G$40</c:f>
              <c:numCache>
                <c:formatCode>0.0</c:formatCode>
                <c:ptCount val="11"/>
                <c:pt idx="0">
                  <c:v>0</c:v>
                </c:pt>
                <c:pt idx="1">
                  <c:v>93.621937499999987</c:v>
                </c:pt>
                <c:pt idx="2">
                  <c:v>157.04324999999997</c:v>
                </c:pt>
                <c:pt idx="3">
                  <c:v>190.26393749999997</c:v>
                </c:pt>
                <c:pt idx="4">
                  <c:v>195.70004999999998</c:v>
                </c:pt>
                <c:pt idx="5">
                  <c:v>195.70004999999998</c:v>
                </c:pt>
                <c:pt idx="6">
                  <c:v>195.70004999999998</c:v>
                </c:pt>
                <c:pt idx="7">
                  <c:v>195.70004999999998</c:v>
                </c:pt>
                <c:pt idx="8">
                  <c:v>195.70004999999998</c:v>
                </c:pt>
                <c:pt idx="9">
                  <c:v>195.70004999999998</c:v>
                </c:pt>
                <c:pt idx="10">
                  <c:v>195.70004999999998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'LongChannel Model'!$F$29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Model'!$F$30:$F$40</c:f>
              <c:numCache>
                <c:formatCode>0.0</c:formatCode>
                <c:ptCount val="11"/>
                <c:pt idx="0">
                  <c:v>0</c:v>
                </c:pt>
                <c:pt idx="1">
                  <c:v>63.421312499999992</c:v>
                </c:pt>
                <c:pt idx="2">
                  <c:v>96.641999999999996</c:v>
                </c:pt>
                <c:pt idx="3">
                  <c:v>102.07811249999999</c:v>
                </c:pt>
                <c:pt idx="4">
                  <c:v>102.07811249999999</c:v>
                </c:pt>
                <c:pt idx="5">
                  <c:v>102.07811249999999</c:v>
                </c:pt>
                <c:pt idx="6">
                  <c:v>102.07811249999999</c:v>
                </c:pt>
                <c:pt idx="7">
                  <c:v>102.07811249999999</c:v>
                </c:pt>
                <c:pt idx="8">
                  <c:v>102.07811249999999</c:v>
                </c:pt>
                <c:pt idx="9">
                  <c:v>102.07811249999999</c:v>
                </c:pt>
                <c:pt idx="10">
                  <c:v>102.07811249999999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'LongChannel Model'!$E$29</c:f>
              <c:strCache>
                <c:ptCount val="1"/>
                <c:pt idx="0">
                  <c:v>1.5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x"/>
            <c:size val="7"/>
          </c:marker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Model'!$E$30:$E$40</c:f>
              <c:numCache>
                <c:formatCode>0.0</c:formatCode>
                <c:ptCount val="11"/>
                <c:pt idx="0">
                  <c:v>0</c:v>
                </c:pt>
                <c:pt idx="1">
                  <c:v>33.220687499999997</c:v>
                </c:pt>
                <c:pt idx="2">
                  <c:v>38.656800000000004</c:v>
                </c:pt>
                <c:pt idx="3">
                  <c:v>38.656800000000004</c:v>
                </c:pt>
                <c:pt idx="4">
                  <c:v>38.656800000000004</c:v>
                </c:pt>
                <c:pt idx="5">
                  <c:v>38.656800000000004</c:v>
                </c:pt>
                <c:pt idx="6">
                  <c:v>38.656800000000004</c:v>
                </c:pt>
                <c:pt idx="7">
                  <c:v>38.656800000000004</c:v>
                </c:pt>
                <c:pt idx="8">
                  <c:v>38.656800000000004</c:v>
                </c:pt>
                <c:pt idx="9">
                  <c:v>38.656800000000004</c:v>
                </c:pt>
                <c:pt idx="10">
                  <c:v>38.656800000000004</c:v>
                </c:pt>
              </c:numCache>
            </c:numRef>
          </c:yVal>
          <c:smooth val="1"/>
        </c:ser>
        <c:ser>
          <c:idx val="2"/>
          <c:order val="8"/>
          <c:tx>
            <c:strRef>
              <c:f>'LongChannel Model'!$D$29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</c:spPr>
          </c:marker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Model'!$D$30:$D$40</c:f>
              <c:numCache>
                <c:formatCode>0.0</c:formatCode>
                <c:ptCount val="11"/>
                <c:pt idx="0">
                  <c:v>0</c:v>
                </c:pt>
                <c:pt idx="1">
                  <c:v>5.436112500000001</c:v>
                </c:pt>
                <c:pt idx="2">
                  <c:v>5.436112500000001</c:v>
                </c:pt>
                <c:pt idx="3">
                  <c:v>5.436112500000001</c:v>
                </c:pt>
                <c:pt idx="4">
                  <c:v>5.436112500000001</c:v>
                </c:pt>
                <c:pt idx="5">
                  <c:v>5.436112500000001</c:v>
                </c:pt>
                <c:pt idx="6">
                  <c:v>5.436112500000001</c:v>
                </c:pt>
                <c:pt idx="7">
                  <c:v>5.436112500000001</c:v>
                </c:pt>
                <c:pt idx="8">
                  <c:v>5.436112500000001</c:v>
                </c:pt>
                <c:pt idx="9">
                  <c:v>5.436112500000001</c:v>
                </c:pt>
                <c:pt idx="10">
                  <c:v>5.436112500000001</c:v>
                </c:pt>
              </c:numCache>
            </c:numRef>
          </c:yVal>
          <c:smooth val="1"/>
        </c:ser>
        <c:ser>
          <c:idx val="1"/>
          <c:order val="9"/>
          <c:tx>
            <c:strRef>
              <c:f>'LongChannel Model'!$C$29</c:f>
              <c:strCache>
                <c:ptCount val="1"/>
                <c:pt idx="0">
                  <c:v>0.5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Model'!$C$30:$C$40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0"/>
          <c:order val="10"/>
          <c:tx>
            <c:strRef>
              <c:f>'LongChannel Model'!$B$29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</c:spPr>
          </c:marker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Model'!$B$30:$B$40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'LongChannel Model'!$B$59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7030A0"/>
              </a:solidFill>
            </c:spPr>
          </c:marker>
          <c:xVal>
            <c:numRef>
              <c:f>'LongChannel Model'!$A$60:$A$70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Model'!$B$60:$B$70</c:f>
              <c:numCache>
                <c:formatCode>General</c:formatCode>
                <c:ptCount val="11"/>
                <c:pt idx="0">
                  <c:v>1116.8191125000001</c:v>
                </c:pt>
                <c:pt idx="1">
                  <c:v>1116.8191125000001</c:v>
                </c:pt>
                <c:pt idx="2">
                  <c:v>1111.383</c:v>
                </c:pt>
                <c:pt idx="3">
                  <c:v>1078.1623125000001</c:v>
                </c:pt>
                <c:pt idx="4">
                  <c:v>1014.741</c:v>
                </c:pt>
                <c:pt idx="5">
                  <c:v>921.11906250000004</c:v>
                </c:pt>
                <c:pt idx="6">
                  <c:v>797.29650000000004</c:v>
                </c:pt>
                <c:pt idx="7">
                  <c:v>643.27331249999997</c:v>
                </c:pt>
                <c:pt idx="8">
                  <c:v>459.04950000000002</c:v>
                </c:pt>
                <c:pt idx="9">
                  <c:v>244.62506250000001</c:v>
                </c:pt>
                <c:pt idx="10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'LongChannel Model'!$C$59</c:f>
              <c:strCache>
                <c:ptCount val="1"/>
                <c:pt idx="0">
                  <c:v>0.5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</c:spPr>
          </c:marker>
          <c:xVal>
            <c:numRef>
              <c:f>'LongChannel Model'!$A$60:$A$70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Model'!$C$60:$C$70</c:f>
              <c:numCache>
                <c:formatCode>General</c:formatCode>
                <c:ptCount val="11"/>
                <c:pt idx="0">
                  <c:v>872.19405000000006</c:v>
                </c:pt>
                <c:pt idx="1">
                  <c:v>872.19405000000006</c:v>
                </c:pt>
                <c:pt idx="2">
                  <c:v>872.19405000000006</c:v>
                </c:pt>
                <c:pt idx="3">
                  <c:v>866.75793750000003</c:v>
                </c:pt>
                <c:pt idx="4">
                  <c:v>833.53725000000009</c:v>
                </c:pt>
                <c:pt idx="5">
                  <c:v>770.11593749999997</c:v>
                </c:pt>
                <c:pt idx="6">
                  <c:v>676.49400000000003</c:v>
                </c:pt>
                <c:pt idx="7">
                  <c:v>552.67143750000002</c:v>
                </c:pt>
                <c:pt idx="8">
                  <c:v>398.64825000000002</c:v>
                </c:pt>
                <c:pt idx="9">
                  <c:v>214.42443750000001</c:v>
                </c:pt>
                <c:pt idx="10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'LongChannel Model'!$D$59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00B050"/>
              </a:solidFill>
            </c:spPr>
          </c:marker>
          <c:xVal>
            <c:numRef>
              <c:f>'LongChannel Model'!$A$60:$A$70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Model'!$D$60:$D$70</c:f>
              <c:numCache>
                <c:formatCode>General</c:formatCode>
                <c:ptCount val="11"/>
                <c:pt idx="0">
                  <c:v>657.76961249999999</c:v>
                </c:pt>
                <c:pt idx="1">
                  <c:v>657.76961249999999</c:v>
                </c:pt>
                <c:pt idx="2">
                  <c:v>657.76961249999999</c:v>
                </c:pt>
                <c:pt idx="3">
                  <c:v>657.76961249999999</c:v>
                </c:pt>
                <c:pt idx="4">
                  <c:v>652.33349999999996</c:v>
                </c:pt>
                <c:pt idx="5">
                  <c:v>619.11281250000002</c:v>
                </c:pt>
                <c:pt idx="6">
                  <c:v>555.69150000000002</c:v>
                </c:pt>
                <c:pt idx="7">
                  <c:v>462.06956250000002</c:v>
                </c:pt>
                <c:pt idx="8">
                  <c:v>338.24700000000001</c:v>
                </c:pt>
                <c:pt idx="9">
                  <c:v>184.22381250000001</c:v>
                </c:pt>
                <c:pt idx="10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'LongChannel Model'!$E$59</c:f>
              <c:strCache>
                <c:ptCount val="1"/>
                <c:pt idx="0">
                  <c:v>1.5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x"/>
            <c:size val="7"/>
            <c:spPr>
              <a:noFill/>
              <a:ln>
                <a:solidFill>
                  <a:srgbClr val="0070C0"/>
                </a:solidFill>
              </a:ln>
            </c:spPr>
          </c:marker>
          <c:xVal>
            <c:numRef>
              <c:f>'LongChannel Model'!$A$60:$A$70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Model'!$E$60:$E$70</c:f>
              <c:numCache>
                <c:formatCode>General</c:formatCode>
                <c:ptCount val="11"/>
                <c:pt idx="0">
                  <c:v>473.54579999999999</c:v>
                </c:pt>
                <c:pt idx="1">
                  <c:v>473.54579999999999</c:v>
                </c:pt>
                <c:pt idx="2">
                  <c:v>473.54579999999999</c:v>
                </c:pt>
                <c:pt idx="3">
                  <c:v>473.54579999999999</c:v>
                </c:pt>
                <c:pt idx="4">
                  <c:v>473.54579999999999</c:v>
                </c:pt>
                <c:pt idx="5">
                  <c:v>468.10968750000001</c:v>
                </c:pt>
                <c:pt idx="6">
                  <c:v>434.88900000000001</c:v>
                </c:pt>
                <c:pt idx="7">
                  <c:v>371.46768750000001</c:v>
                </c:pt>
                <c:pt idx="8">
                  <c:v>277.84575000000001</c:v>
                </c:pt>
                <c:pt idx="9">
                  <c:v>154.02318750000001</c:v>
                </c:pt>
                <c:pt idx="10">
                  <c:v>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'LongChannel Model'!$F$59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xVal>
            <c:numRef>
              <c:f>'LongChannel Model'!$A$60:$A$70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Model'!$F$60:$F$70</c:f>
              <c:numCache>
                <c:formatCode>General</c:formatCode>
                <c:ptCount val="11"/>
                <c:pt idx="0">
                  <c:v>319.52261249999998</c:v>
                </c:pt>
                <c:pt idx="1">
                  <c:v>319.52261249999998</c:v>
                </c:pt>
                <c:pt idx="2">
                  <c:v>319.52261249999998</c:v>
                </c:pt>
                <c:pt idx="3">
                  <c:v>319.52261249999998</c:v>
                </c:pt>
                <c:pt idx="4">
                  <c:v>319.52261249999998</c:v>
                </c:pt>
                <c:pt idx="5">
                  <c:v>319.52261249999998</c:v>
                </c:pt>
                <c:pt idx="6">
                  <c:v>314.0865</c:v>
                </c:pt>
                <c:pt idx="7">
                  <c:v>280.8658125</c:v>
                </c:pt>
                <c:pt idx="8">
                  <c:v>217.44450000000001</c:v>
                </c:pt>
                <c:pt idx="9">
                  <c:v>123.8225625</c:v>
                </c:pt>
                <c:pt idx="10">
                  <c:v>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'LongChannel Model'!$G$59</c:f>
              <c:strCache>
                <c:ptCount val="1"/>
                <c:pt idx="0">
                  <c:v>2.5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diamond"/>
            <c:size val="7"/>
            <c:spPr>
              <a:solidFill>
                <a:schemeClr val="tx1"/>
              </a:solidFill>
            </c:spPr>
          </c:marker>
          <c:xVal>
            <c:numRef>
              <c:f>'LongChannel Model'!$A$60:$A$70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Model'!$G$60:$G$70</c:f>
              <c:numCache>
                <c:formatCode>General</c:formatCode>
                <c:ptCount val="11"/>
                <c:pt idx="0">
                  <c:v>195.70005000000003</c:v>
                </c:pt>
                <c:pt idx="1">
                  <c:v>195.70005000000003</c:v>
                </c:pt>
                <c:pt idx="2">
                  <c:v>195.70005000000003</c:v>
                </c:pt>
                <c:pt idx="3">
                  <c:v>195.70005000000003</c:v>
                </c:pt>
                <c:pt idx="4">
                  <c:v>195.70005000000003</c:v>
                </c:pt>
                <c:pt idx="5">
                  <c:v>195.70005000000003</c:v>
                </c:pt>
                <c:pt idx="6">
                  <c:v>195.70005000000003</c:v>
                </c:pt>
                <c:pt idx="7">
                  <c:v>190.26393750000003</c:v>
                </c:pt>
                <c:pt idx="8">
                  <c:v>157.04325000000003</c:v>
                </c:pt>
                <c:pt idx="9">
                  <c:v>93.621937500000016</c:v>
                </c:pt>
                <c:pt idx="10">
                  <c:v>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'LongChannel Model'!$H$59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dot"/>
            <c:size val="7"/>
            <c:spPr>
              <a:ln>
                <a:solidFill>
                  <a:srgbClr val="C00000"/>
                </a:solidFill>
              </a:ln>
            </c:spPr>
          </c:marker>
          <c:xVal>
            <c:numRef>
              <c:f>'LongChannel Model'!$A$60:$A$70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Model'!$H$60:$H$70</c:f>
              <c:numCache>
                <c:formatCode>General</c:formatCode>
                <c:ptCount val="11"/>
                <c:pt idx="0">
                  <c:v>102.07811250000002</c:v>
                </c:pt>
                <c:pt idx="1">
                  <c:v>102.07811250000002</c:v>
                </c:pt>
                <c:pt idx="2">
                  <c:v>102.07811250000002</c:v>
                </c:pt>
                <c:pt idx="3">
                  <c:v>102.07811250000002</c:v>
                </c:pt>
                <c:pt idx="4">
                  <c:v>102.07811250000002</c:v>
                </c:pt>
                <c:pt idx="5">
                  <c:v>102.07811250000002</c:v>
                </c:pt>
                <c:pt idx="6">
                  <c:v>102.07811250000002</c:v>
                </c:pt>
                <c:pt idx="7">
                  <c:v>102.07811250000002</c:v>
                </c:pt>
                <c:pt idx="8">
                  <c:v>96.64200000000001</c:v>
                </c:pt>
                <c:pt idx="9">
                  <c:v>63.421312500000006</c:v>
                </c:pt>
                <c:pt idx="10">
                  <c:v>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'LongChannel Model'!$I$59</c:f>
              <c:strCache>
                <c:ptCount val="1"/>
                <c:pt idx="0">
                  <c:v>3.5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dash"/>
            <c:size val="7"/>
            <c:spPr>
              <a:noFill/>
              <a:ln>
                <a:solidFill>
                  <a:schemeClr val="accent6"/>
                </a:solidFill>
              </a:ln>
            </c:spPr>
          </c:marker>
          <c:xVal>
            <c:numRef>
              <c:f>'LongChannel Model'!$A$60:$A$70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Model'!$I$60:$I$70</c:f>
              <c:numCache>
                <c:formatCode>General</c:formatCode>
                <c:ptCount val="11"/>
                <c:pt idx="0">
                  <c:v>38.656800000000011</c:v>
                </c:pt>
                <c:pt idx="1">
                  <c:v>38.656800000000011</c:v>
                </c:pt>
                <c:pt idx="2">
                  <c:v>38.656800000000011</c:v>
                </c:pt>
                <c:pt idx="3">
                  <c:v>38.656800000000011</c:v>
                </c:pt>
                <c:pt idx="4">
                  <c:v>38.656800000000011</c:v>
                </c:pt>
                <c:pt idx="5">
                  <c:v>38.656800000000011</c:v>
                </c:pt>
                <c:pt idx="6">
                  <c:v>38.656800000000011</c:v>
                </c:pt>
                <c:pt idx="7">
                  <c:v>38.656800000000011</c:v>
                </c:pt>
                <c:pt idx="8">
                  <c:v>38.656800000000011</c:v>
                </c:pt>
                <c:pt idx="9">
                  <c:v>33.220687500000004</c:v>
                </c:pt>
                <c:pt idx="10">
                  <c:v>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'LongChannel Model'!$J$59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xVal>
            <c:numRef>
              <c:f>'LongChannel Model'!$A$60:$A$70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Model'!$J$60:$J$70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'LongChannel Model'!$K$59</c:f>
              <c:strCache>
                <c:ptCount val="1"/>
                <c:pt idx="0">
                  <c:v>4.5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diamond"/>
            <c:size val="7"/>
            <c:spPr>
              <a:solidFill>
                <a:schemeClr val="accent4"/>
              </a:solidFill>
            </c:spPr>
          </c:marker>
          <c:xVal>
            <c:numRef>
              <c:f>'LongChannel Model'!$A$60:$A$70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Model'!$K$60:$K$70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'LongChannel Model'!$L$59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accent5"/>
              </a:solidFill>
            </c:spPr>
          </c:marker>
          <c:xVal>
            <c:numRef>
              <c:f>'LongChannel Model'!$A$60:$A$70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Model'!$L$60:$L$70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01984"/>
        <c:axId val="175003904"/>
      </c:scatterChart>
      <c:valAx>
        <c:axId val="175001984"/>
        <c:scaling>
          <c:orientation val="minMax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Vds NMOS (Volts)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5003904"/>
        <c:crosses val="autoZero"/>
        <c:crossBetween val="midCat"/>
      </c:valAx>
      <c:valAx>
        <c:axId val="175003904"/>
        <c:scaling>
          <c:orientation val="minMax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Id (uA)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75001984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676493964900156"/>
          <c:y val="0.32530629207650757"/>
          <c:w val="0.10483811780580719"/>
          <c:h val="0.347522665120280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'Fixed Vds'!$B$4:$L$4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'Fixed Vds'!$B$5:$L$5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5.436112500000001</c:v>
                </c:pt>
                <c:pt idx="3">
                  <c:v>38.656800000000004</c:v>
                </c:pt>
                <c:pt idx="4">
                  <c:v>102.07811249999999</c:v>
                </c:pt>
                <c:pt idx="5">
                  <c:v>195.70004999999998</c:v>
                </c:pt>
                <c:pt idx="6">
                  <c:v>314.08649999999989</c:v>
                </c:pt>
                <c:pt idx="7">
                  <c:v>434.8889999999999</c:v>
                </c:pt>
                <c:pt idx="8">
                  <c:v>555.69149999999991</c:v>
                </c:pt>
                <c:pt idx="9">
                  <c:v>676.4939999999998</c:v>
                </c:pt>
                <c:pt idx="10">
                  <c:v>797.29649999999981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19648"/>
        <c:axId val="174221568"/>
      </c:scatterChart>
      <c:valAx>
        <c:axId val="174219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Vgs (V)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4221568"/>
        <c:crosses val="autoZero"/>
        <c:crossBetween val="midCat"/>
      </c:valAx>
      <c:valAx>
        <c:axId val="1742215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Ids (uA)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74219648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NMOS Device with R Pullup</a:t>
            </a:r>
          </a:p>
        </c:rich>
      </c:tx>
      <c:layout>
        <c:manualLayout>
          <c:xMode val="edge"/>
          <c:yMode val="edge"/>
          <c:x val="0.19260188087774294"/>
          <c:y val="0.11302279553808704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10"/>
          <c:order val="0"/>
          <c:tx>
            <c:strRef>
              <c:f>'LongChannel Model'!$L$29</c:f>
              <c:strCache>
                <c:ptCount val="1"/>
                <c:pt idx="0">
                  <c:v>5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Model'!$L$30:$L$40</c:f>
              <c:numCache>
                <c:formatCode>0.0</c:formatCode>
                <c:ptCount val="11"/>
                <c:pt idx="0">
                  <c:v>0</c:v>
                </c:pt>
                <c:pt idx="1">
                  <c:v>244.62506249999996</c:v>
                </c:pt>
                <c:pt idx="2">
                  <c:v>459.04949999999991</c:v>
                </c:pt>
                <c:pt idx="3">
                  <c:v>643.27331249999986</c:v>
                </c:pt>
                <c:pt idx="4">
                  <c:v>797.29649999999981</c:v>
                </c:pt>
                <c:pt idx="5">
                  <c:v>921.1190624999997</c:v>
                </c:pt>
                <c:pt idx="6">
                  <c:v>1014.7409999999998</c:v>
                </c:pt>
                <c:pt idx="7">
                  <c:v>1078.1623124999999</c:v>
                </c:pt>
                <c:pt idx="8">
                  <c:v>1111.3829999999998</c:v>
                </c:pt>
                <c:pt idx="9">
                  <c:v>1116.8191124999996</c:v>
                </c:pt>
                <c:pt idx="10">
                  <c:v>1116.8191124999996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'LongChannel Model'!$K$29</c:f>
              <c:strCache>
                <c:ptCount val="1"/>
                <c:pt idx="0">
                  <c:v>4.5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Model'!$K$30:$K$40</c:f>
              <c:numCache>
                <c:formatCode>0.0</c:formatCode>
                <c:ptCount val="11"/>
                <c:pt idx="0">
                  <c:v>0</c:v>
                </c:pt>
                <c:pt idx="1">
                  <c:v>214.42443749999995</c:v>
                </c:pt>
                <c:pt idx="2">
                  <c:v>398.6482499999999</c:v>
                </c:pt>
                <c:pt idx="3">
                  <c:v>552.67143749999991</c:v>
                </c:pt>
                <c:pt idx="4">
                  <c:v>676.4939999999998</c:v>
                </c:pt>
                <c:pt idx="5">
                  <c:v>770.11593749999986</c:v>
                </c:pt>
                <c:pt idx="6">
                  <c:v>833.53724999999986</c:v>
                </c:pt>
                <c:pt idx="7">
                  <c:v>866.7579374999998</c:v>
                </c:pt>
                <c:pt idx="8">
                  <c:v>872.19404999999983</c:v>
                </c:pt>
                <c:pt idx="9">
                  <c:v>872.19404999999983</c:v>
                </c:pt>
                <c:pt idx="10">
                  <c:v>872.19404999999983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'LongChannel Model'!$J$29</c:f>
              <c:strCache>
                <c:ptCount val="1"/>
                <c:pt idx="0">
                  <c:v>4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Model'!$J$30:$J$40</c:f>
              <c:numCache>
                <c:formatCode>0.0</c:formatCode>
                <c:ptCount val="11"/>
                <c:pt idx="0">
                  <c:v>0</c:v>
                </c:pt>
                <c:pt idx="1">
                  <c:v>184.22381249999995</c:v>
                </c:pt>
                <c:pt idx="2">
                  <c:v>338.2469999999999</c:v>
                </c:pt>
                <c:pt idx="3">
                  <c:v>462.06956249999996</c:v>
                </c:pt>
                <c:pt idx="4">
                  <c:v>555.69149999999991</c:v>
                </c:pt>
                <c:pt idx="5">
                  <c:v>619.1128124999999</c:v>
                </c:pt>
                <c:pt idx="6">
                  <c:v>652.33349999999984</c:v>
                </c:pt>
                <c:pt idx="7">
                  <c:v>657.76961249999977</c:v>
                </c:pt>
                <c:pt idx="8">
                  <c:v>657.76961249999977</c:v>
                </c:pt>
                <c:pt idx="9">
                  <c:v>657.76961249999977</c:v>
                </c:pt>
                <c:pt idx="10">
                  <c:v>657.76961249999977</c:v>
                </c:pt>
              </c:numCache>
            </c:numRef>
          </c:yVal>
          <c:smooth val="1"/>
        </c:ser>
        <c:ser>
          <c:idx val="7"/>
          <c:order val="3"/>
          <c:tx>
            <c:strRef>
              <c:f>'LongChannel Model'!$I$29</c:f>
              <c:strCache>
                <c:ptCount val="1"/>
                <c:pt idx="0">
                  <c:v>3.5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Model'!$I$30:$I$40</c:f>
              <c:numCache>
                <c:formatCode>0.0</c:formatCode>
                <c:ptCount val="11"/>
                <c:pt idx="0">
                  <c:v>0</c:v>
                </c:pt>
                <c:pt idx="1">
                  <c:v>154.02318749999998</c:v>
                </c:pt>
                <c:pt idx="2">
                  <c:v>277.84574999999995</c:v>
                </c:pt>
                <c:pt idx="3">
                  <c:v>371.4676874999999</c:v>
                </c:pt>
                <c:pt idx="4">
                  <c:v>434.8889999999999</c:v>
                </c:pt>
                <c:pt idx="5">
                  <c:v>468.10968749999984</c:v>
                </c:pt>
                <c:pt idx="6">
                  <c:v>473.54579999999987</c:v>
                </c:pt>
                <c:pt idx="7">
                  <c:v>473.54579999999987</c:v>
                </c:pt>
                <c:pt idx="8">
                  <c:v>473.54579999999987</c:v>
                </c:pt>
                <c:pt idx="9">
                  <c:v>473.54579999999987</c:v>
                </c:pt>
                <c:pt idx="10">
                  <c:v>473.54579999999987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'LongChannel Model'!$H$29</c:f>
              <c:strCache>
                <c:ptCount val="1"/>
                <c:pt idx="0">
                  <c:v>3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Model'!$H$30:$H$40</c:f>
              <c:numCache>
                <c:formatCode>0.0</c:formatCode>
                <c:ptCount val="11"/>
                <c:pt idx="0">
                  <c:v>0</c:v>
                </c:pt>
                <c:pt idx="1">
                  <c:v>123.82256249999998</c:v>
                </c:pt>
                <c:pt idx="2">
                  <c:v>217.44449999999995</c:v>
                </c:pt>
                <c:pt idx="3">
                  <c:v>280.86581249999995</c:v>
                </c:pt>
                <c:pt idx="4">
                  <c:v>314.08649999999989</c:v>
                </c:pt>
                <c:pt idx="5">
                  <c:v>319.52261249999992</c:v>
                </c:pt>
                <c:pt idx="6">
                  <c:v>319.52261249999992</c:v>
                </c:pt>
                <c:pt idx="7">
                  <c:v>319.52261249999992</c:v>
                </c:pt>
                <c:pt idx="8">
                  <c:v>319.52261249999992</c:v>
                </c:pt>
                <c:pt idx="9">
                  <c:v>319.52261249999992</c:v>
                </c:pt>
                <c:pt idx="10">
                  <c:v>319.52261249999992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'LongChannel Model'!$G$29</c:f>
              <c:strCache>
                <c:ptCount val="1"/>
                <c:pt idx="0">
                  <c:v>2.5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Model'!$G$30:$G$40</c:f>
              <c:numCache>
                <c:formatCode>0.0</c:formatCode>
                <c:ptCount val="11"/>
                <c:pt idx="0">
                  <c:v>0</c:v>
                </c:pt>
                <c:pt idx="1">
                  <c:v>93.621937499999987</c:v>
                </c:pt>
                <c:pt idx="2">
                  <c:v>157.04324999999997</c:v>
                </c:pt>
                <c:pt idx="3">
                  <c:v>190.26393749999997</c:v>
                </c:pt>
                <c:pt idx="4">
                  <c:v>195.70004999999998</c:v>
                </c:pt>
                <c:pt idx="5">
                  <c:v>195.70004999999998</c:v>
                </c:pt>
                <c:pt idx="6">
                  <c:v>195.70004999999998</c:v>
                </c:pt>
                <c:pt idx="7">
                  <c:v>195.70004999999998</c:v>
                </c:pt>
                <c:pt idx="8">
                  <c:v>195.70004999999998</c:v>
                </c:pt>
                <c:pt idx="9">
                  <c:v>195.70004999999998</c:v>
                </c:pt>
                <c:pt idx="10">
                  <c:v>195.70004999999998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'LongChannel Model'!$F$29</c:f>
              <c:strCache>
                <c:ptCount val="1"/>
                <c:pt idx="0">
                  <c:v>2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Model'!$F$30:$F$40</c:f>
              <c:numCache>
                <c:formatCode>0.0</c:formatCode>
                <c:ptCount val="11"/>
                <c:pt idx="0">
                  <c:v>0</c:v>
                </c:pt>
                <c:pt idx="1">
                  <c:v>63.421312499999992</c:v>
                </c:pt>
                <c:pt idx="2">
                  <c:v>96.641999999999996</c:v>
                </c:pt>
                <c:pt idx="3">
                  <c:v>102.07811249999999</c:v>
                </c:pt>
                <c:pt idx="4">
                  <c:v>102.07811249999999</c:v>
                </c:pt>
                <c:pt idx="5">
                  <c:v>102.07811249999999</c:v>
                </c:pt>
                <c:pt idx="6">
                  <c:v>102.07811249999999</c:v>
                </c:pt>
                <c:pt idx="7">
                  <c:v>102.07811249999999</c:v>
                </c:pt>
                <c:pt idx="8">
                  <c:v>102.07811249999999</c:v>
                </c:pt>
                <c:pt idx="9">
                  <c:v>102.07811249999999</c:v>
                </c:pt>
                <c:pt idx="10">
                  <c:v>102.07811249999999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'LongChannel Model'!$E$29</c:f>
              <c:strCache>
                <c:ptCount val="1"/>
                <c:pt idx="0">
                  <c:v>1.5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Model'!$E$30:$E$40</c:f>
              <c:numCache>
                <c:formatCode>0.0</c:formatCode>
                <c:ptCount val="11"/>
                <c:pt idx="0">
                  <c:v>0</c:v>
                </c:pt>
                <c:pt idx="1">
                  <c:v>33.220687499999997</c:v>
                </c:pt>
                <c:pt idx="2">
                  <c:v>38.656800000000004</c:v>
                </c:pt>
                <c:pt idx="3">
                  <c:v>38.656800000000004</c:v>
                </c:pt>
                <c:pt idx="4">
                  <c:v>38.656800000000004</c:v>
                </c:pt>
                <c:pt idx="5">
                  <c:v>38.656800000000004</c:v>
                </c:pt>
                <c:pt idx="6">
                  <c:v>38.656800000000004</c:v>
                </c:pt>
                <c:pt idx="7">
                  <c:v>38.656800000000004</c:v>
                </c:pt>
                <c:pt idx="8">
                  <c:v>38.656800000000004</c:v>
                </c:pt>
                <c:pt idx="9">
                  <c:v>38.656800000000004</c:v>
                </c:pt>
                <c:pt idx="10">
                  <c:v>38.656800000000004</c:v>
                </c:pt>
              </c:numCache>
            </c:numRef>
          </c:yVal>
          <c:smooth val="1"/>
        </c:ser>
        <c:ser>
          <c:idx val="2"/>
          <c:order val="8"/>
          <c:tx>
            <c:strRef>
              <c:f>'LongChannel Model'!$D$29</c:f>
              <c:strCache>
                <c:ptCount val="1"/>
                <c:pt idx="0">
                  <c:v>1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Model'!$D$30:$D$40</c:f>
              <c:numCache>
                <c:formatCode>0.0</c:formatCode>
                <c:ptCount val="11"/>
                <c:pt idx="0">
                  <c:v>0</c:v>
                </c:pt>
                <c:pt idx="1">
                  <c:v>5.436112500000001</c:v>
                </c:pt>
                <c:pt idx="2">
                  <c:v>5.436112500000001</c:v>
                </c:pt>
                <c:pt idx="3">
                  <c:v>5.436112500000001</c:v>
                </c:pt>
                <c:pt idx="4">
                  <c:v>5.436112500000001</c:v>
                </c:pt>
                <c:pt idx="5">
                  <c:v>5.436112500000001</c:v>
                </c:pt>
                <c:pt idx="6">
                  <c:v>5.436112500000001</c:v>
                </c:pt>
                <c:pt idx="7">
                  <c:v>5.436112500000001</c:v>
                </c:pt>
                <c:pt idx="8">
                  <c:v>5.436112500000001</c:v>
                </c:pt>
                <c:pt idx="9">
                  <c:v>5.436112500000001</c:v>
                </c:pt>
                <c:pt idx="10">
                  <c:v>5.436112500000001</c:v>
                </c:pt>
              </c:numCache>
            </c:numRef>
          </c:yVal>
          <c:smooth val="1"/>
        </c:ser>
        <c:ser>
          <c:idx val="1"/>
          <c:order val="9"/>
          <c:tx>
            <c:strRef>
              <c:f>'LongChannel Model'!$C$29</c:f>
              <c:strCache>
                <c:ptCount val="1"/>
                <c:pt idx="0">
                  <c:v>0.5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Model'!$C$30:$C$40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0"/>
          <c:order val="10"/>
          <c:tx>
            <c:strRef>
              <c:f>'LongChannel Model'!$B$29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'LongChannel Model'!$A$30:$A$40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'LongChannel Model'!$B$30:$B$40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R</c:v>
          </c:tx>
          <c:spPr>
            <a:ln>
              <a:solidFill>
                <a:srgbClr val="FF0000"/>
              </a:solidFill>
              <a:prstDash val="dashDot"/>
            </a:ln>
          </c:spPr>
          <c:marker>
            <c:symbol val="none"/>
          </c:marker>
          <c:xVal>
            <c:numRef>
              <c:f>'R Pullup'!$A$19:$A$29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'R Pullup'!$C$19:$C$29</c:f>
              <c:numCache>
                <c:formatCode>General</c:formatCode>
                <c:ptCount val="11"/>
                <c:pt idx="0">
                  <c:v>781.25</c:v>
                </c:pt>
                <c:pt idx="1">
                  <c:v>703.125</c:v>
                </c:pt>
                <c:pt idx="2">
                  <c:v>625</c:v>
                </c:pt>
                <c:pt idx="3">
                  <c:v>546.875</c:v>
                </c:pt>
                <c:pt idx="4">
                  <c:v>468.75</c:v>
                </c:pt>
                <c:pt idx="5">
                  <c:v>390.625</c:v>
                </c:pt>
                <c:pt idx="6">
                  <c:v>312.5</c:v>
                </c:pt>
                <c:pt idx="7">
                  <c:v>234.375</c:v>
                </c:pt>
                <c:pt idx="8">
                  <c:v>156.25</c:v>
                </c:pt>
                <c:pt idx="9">
                  <c:v>78.125</c:v>
                </c:pt>
                <c:pt idx="10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'R Pullup'!$B$17</c:f>
              <c:strCache>
                <c:ptCount val="1"/>
                <c:pt idx="0">
                  <c:v>R/4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'R Pullup'!$A$19:$A$29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'R Pullup'!$B$19:$B$29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1171.875</c:v>
                </c:pt>
                <c:pt idx="6">
                  <c:v>937.49999999999989</c:v>
                </c:pt>
                <c:pt idx="7">
                  <c:v>703.125</c:v>
                </c:pt>
                <c:pt idx="8">
                  <c:v>468.74999999999994</c:v>
                </c:pt>
                <c:pt idx="9">
                  <c:v>234.37499999999997</c:v>
                </c:pt>
                <c:pt idx="10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'R Pullup'!$D$17</c:f>
              <c:strCache>
                <c:ptCount val="1"/>
                <c:pt idx="0">
                  <c:v>4R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'R Pullup'!$A$19:$A$29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'R Pullup'!$D$19:$D$29</c:f>
              <c:numCache>
                <c:formatCode>General</c:formatCode>
                <c:ptCount val="11"/>
                <c:pt idx="0">
                  <c:v>195.3125</c:v>
                </c:pt>
                <c:pt idx="1">
                  <c:v>175.78125</c:v>
                </c:pt>
                <c:pt idx="2">
                  <c:v>156.25</c:v>
                </c:pt>
                <c:pt idx="3">
                  <c:v>136.71875</c:v>
                </c:pt>
                <c:pt idx="4">
                  <c:v>117.1875</c:v>
                </c:pt>
                <c:pt idx="5">
                  <c:v>97.65625</c:v>
                </c:pt>
                <c:pt idx="6">
                  <c:v>78.125</c:v>
                </c:pt>
                <c:pt idx="7">
                  <c:v>58.59375</c:v>
                </c:pt>
                <c:pt idx="8">
                  <c:v>39.0625</c:v>
                </c:pt>
                <c:pt idx="9">
                  <c:v>19.53125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14368"/>
        <c:axId val="43188992"/>
      </c:scatterChart>
      <c:valAx>
        <c:axId val="42314368"/>
        <c:scaling>
          <c:orientation val="minMax"/>
        </c:scaling>
        <c:delete val="0"/>
        <c:axPos val="b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Vds (Volts)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188992"/>
        <c:crosses val="autoZero"/>
        <c:crossBetween val="midCat"/>
      </c:valAx>
      <c:valAx>
        <c:axId val="43188992"/>
        <c:scaling>
          <c:orientation val="minMax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Ids (uA)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2314368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688659607204267"/>
          <c:y val="0.14764865432361554"/>
          <c:w val="0.10838035527690699"/>
          <c:h val="0.637483947118333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57150</xdr:rowOff>
    </xdr:from>
    <xdr:to>
      <xdr:col>24</xdr:col>
      <xdr:colOff>9525</xdr:colOff>
      <xdr:row>25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38100</xdr:colOff>
      <xdr:row>26</xdr:row>
      <xdr:rowOff>28575</xdr:rowOff>
    </xdr:from>
    <xdr:to>
      <xdr:col>24</xdr:col>
      <xdr:colOff>9526</xdr:colOff>
      <xdr:row>49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53</xdr:row>
      <xdr:rowOff>0</xdr:rowOff>
    </xdr:from>
    <xdr:to>
      <xdr:col>23</xdr:col>
      <xdr:colOff>590550</xdr:colOff>
      <xdr:row>75</xdr:row>
      <xdr:rowOff>166687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6</xdr:row>
      <xdr:rowOff>133350</xdr:rowOff>
    </xdr:from>
    <xdr:to>
      <xdr:col>13</xdr:col>
      <xdr:colOff>342900</xdr:colOff>
      <xdr:row>21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180975</xdr:rowOff>
    </xdr:from>
    <xdr:to>
      <xdr:col>15</xdr:col>
      <xdr:colOff>19050</xdr:colOff>
      <xdr:row>28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19" sqref="E19"/>
    </sheetView>
  </sheetViews>
  <sheetFormatPr defaultRowHeight="15" x14ac:dyDescent="0.25"/>
  <sheetData>
    <row r="1" spans="1:2" x14ac:dyDescent="0.25">
      <c r="A1" t="s">
        <v>54</v>
      </c>
    </row>
    <row r="3" spans="1:2" x14ac:dyDescent="0.25">
      <c r="A3" t="s">
        <v>55</v>
      </c>
    </row>
    <row r="4" spans="1:2" x14ac:dyDescent="0.25">
      <c r="B4" t="s">
        <v>57</v>
      </c>
    </row>
    <row r="6" spans="1:2" x14ac:dyDescent="0.25">
      <c r="A6" t="s">
        <v>56</v>
      </c>
    </row>
    <row r="7" spans="1:2" x14ac:dyDescent="0.25">
      <c r="B7" t="s">
        <v>58</v>
      </c>
    </row>
    <row r="8" spans="1:2" x14ac:dyDescent="0.25">
      <c r="B8" t="s">
        <v>59</v>
      </c>
    </row>
    <row r="9" spans="1:2" x14ac:dyDescent="0.25">
      <c r="B9" t="s">
        <v>60</v>
      </c>
    </row>
    <row r="11" spans="1:2" x14ac:dyDescent="0.25">
      <c r="A11" t="s">
        <v>61</v>
      </c>
    </row>
    <row r="12" spans="1:2" x14ac:dyDescent="0.25">
      <c r="B12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G19" sqref="G19:L27"/>
    </sheetView>
  </sheetViews>
  <sheetFormatPr defaultRowHeight="15" x14ac:dyDescent="0.25"/>
  <cols>
    <col min="1" max="1" width="19.42578125" style="9" bestFit="1" customWidth="1"/>
    <col min="2" max="2" width="14.140625" style="9" bestFit="1" customWidth="1"/>
    <col min="3" max="3" width="11.28515625" style="9" customWidth="1"/>
    <col min="4" max="4" width="11.85546875" style="9" customWidth="1"/>
    <col min="5" max="16384" width="9.140625" style="9"/>
  </cols>
  <sheetData>
    <row r="1" spans="1:12" x14ac:dyDescent="0.25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3"/>
    </row>
    <row r="2" spans="1:12" x14ac:dyDescent="0.25">
      <c r="C2" s="9">
        <v>1</v>
      </c>
      <c r="D2" s="9">
        <v>2</v>
      </c>
      <c r="E2" s="9">
        <v>3</v>
      </c>
      <c r="F2" s="9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</row>
    <row r="3" spans="1:12" x14ac:dyDescent="0.25">
      <c r="A3" s="9" t="s">
        <v>35</v>
      </c>
      <c r="B3" s="9" t="s">
        <v>36</v>
      </c>
      <c r="C3" s="9" t="s">
        <v>53</v>
      </c>
      <c r="D3" s="9" t="s">
        <v>49</v>
      </c>
      <c r="E3" s="9" t="s">
        <v>52</v>
      </c>
      <c r="F3" s="9" t="s">
        <v>50</v>
      </c>
      <c r="G3" s="3"/>
      <c r="H3" s="3"/>
      <c r="I3" s="3"/>
      <c r="J3" s="3"/>
      <c r="K3" s="3"/>
      <c r="L3" s="3"/>
    </row>
    <row r="4" spans="1:12" x14ac:dyDescent="0.25">
      <c r="A4" s="9" t="s">
        <v>48</v>
      </c>
      <c r="B4" s="9" t="s">
        <v>0</v>
      </c>
      <c r="C4" s="9">
        <v>2000</v>
      </c>
      <c r="D4" s="9">
        <v>600</v>
      </c>
      <c r="E4" s="9">
        <v>180</v>
      </c>
      <c r="F4" s="9">
        <v>65</v>
      </c>
      <c r="G4" s="3"/>
      <c r="H4" s="3"/>
      <c r="I4" s="3"/>
      <c r="J4" s="3"/>
      <c r="K4" s="3"/>
      <c r="L4" s="3"/>
    </row>
    <row r="5" spans="1:12" x14ac:dyDescent="0.25">
      <c r="A5" s="1" t="s">
        <v>42</v>
      </c>
      <c r="B5" s="9" t="s">
        <v>0</v>
      </c>
      <c r="C5" s="9">
        <v>1000</v>
      </c>
      <c r="D5" s="9">
        <v>300</v>
      </c>
      <c r="E5" s="10">
        <v>90</v>
      </c>
      <c r="F5" s="10">
        <v>25</v>
      </c>
      <c r="G5" s="3"/>
      <c r="H5" s="3"/>
      <c r="I5" s="3"/>
      <c r="J5" s="3"/>
      <c r="K5" s="3"/>
      <c r="L5" s="3"/>
    </row>
    <row r="6" spans="1:12" x14ac:dyDescent="0.25">
      <c r="A6" s="25" t="s">
        <v>41</v>
      </c>
      <c r="B6" s="9" t="s">
        <v>0</v>
      </c>
      <c r="C6" s="9">
        <v>2000</v>
      </c>
      <c r="D6" s="9">
        <f>2*D5</f>
        <v>600</v>
      </c>
      <c r="E6" s="9">
        <f>2*E5</f>
        <v>180</v>
      </c>
      <c r="F6" s="9">
        <f>2*F5</f>
        <v>50</v>
      </c>
      <c r="G6" s="3"/>
      <c r="H6" s="3"/>
      <c r="I6" s="3"/>
      <c r="J6" s="3"/>
      <c r="K6" s="3"/>
      <c r="L6" s="3"/>
    </row>
    <row r="7" spans="1:12" ht="18" x14ac:dyDescent="0.35">
      <c r="A7" s="1" t="s">
        <v>43</v>
      </c>
      <c r="B7" s="9" t="s">
        <v>1</v>
      </c>
      <c r="C7" s="9">
        <v>200</v>
      </c>
      <c r="D7" s="9">
        <v>100</v>
      </c>
      <c r="E7" s="10">
        <f>D7*E4/D4</f>
        <v>30</v>
      </c>
      <c r="F7" s="10">
        <v>10.5</v>
      </c>
      <c r="G7" s="3"/>
      <c r="H7" s="3"/>
      <c r="I7" s="3"/>
      <c r="J7" s="3"/>
      <c r="K7" s="3"/>
      <c r="L7" s="3"/>
    </row>
    <row r="8" spans="1:12" x14ac:dyDescent="0.25">
      <c r="A8" s="1" t="s">
        <v>44</v>
      </c>
      <c r="B8" s="9" t="s">
        <v>2</v>
      </c>
      <c r="C8" s="9">
        <v>350</v>
      </c>
      <c r="D8" s="9">
        <v>350</v>
      </c>
      <c r="E8" s="10">
        <v>100</v>
      </c>
      <c r="F8" s="10">
        <v>80</v>
      </c>
      <c r="G8" s="3"/>
      <c r="H8" s="3"/>
      <c r="I8" s="3"/>
      <c r="J8" s="3"/>
      <c r="K8" s="3"/>
      <c r="L8" s="3"/>
    </row>
    <row r="9" spans="1:12" ht="18" x14ac:dyDescent="0.35">
      <c r="A9" s="1" t="s">
        <v>45</v>
      </c>
      <c r="B9" s="9" t="s">
        <v>3</v>
      </c>
      <c r="C9" s="9">
        <v>0.5</v>
      </c>
      <c r="D9" s="9">
        <v>0.7</v>
      </c>
      <c r="E9" s="10">
        <v>0.49</v>
      </c>
      <c r="F9" s="10">
        <v>0.3</v>
      </c>
      <c r="G9" s="3"/>
      <c r="H9" s="3"/>
      <c r="I9" s="3"/>
      <c r="J9" s="3"/>
      <c r="K9" s="3"/>
      <c r="L9" s="3"/>
    </row>
    <row r="10" spans="1:12" ht="18" x14ac:dyDescent="0.35">
      <c r="A10" s="1" t="s">
        <v>46</v>
      </c>
      <c r="B10" s="9" t="s">
        <v>34</v>
      </c>
      <c r="C10" s="9">
        <v>3.9</v>
      </c>
      <c r="D10" s="9">
        <v>3.9</v>
      </c>
      <c r="E10" s="10">
        <v>3.9</v>
      </c>
      <c r="F10" s="10">
        <v>3.9</v>
      </c>
      <c r="G10" s="3"/>
      <c r="H10" s="3"/>
      <c r="I10" s="3"/>
      <c r="J10" s="3"/>
      <c r="K10" s="3"/>
      <c r="L10" s="3"/>
    </row>
    <row r="11" spans="1:12" x14ac:dyDescent="0.25">
      <c r="A11" s="1" t="s">
        <v>24</v>
      </c>
      <c r="B11" s="9" t="s">
        <v>3</v>
      </c>
      <c r="C11" s="9">
        <v>5</v>
      </c>
      <c r="D11" s="9">
        <v>5</v>
      </c>
      <c r="E11" s="11">
        <v>1.8</v>
      </c>
      <c r="F11" s="10">
        <v>1</v>
      </c>
      <c r="G11" s="3"/>
      <c r="H11" s="3"/>
      <c r="I11" s="3"/>
      <c r="J11" s="3"/>
      <c r="K11" s="3"/>
      <c r="L11" s="3"/>
    </row>
    <row r="17" spans="1:12" x14ac:dyDescent="0.25">
      <c r="A17" s="19" t="s">
        <v>28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3"/>
    </row>
    <row r="18" spans="1:12" x14ac:dyDescent="0.25">
      <c r="C18" s="9">
        <v>1</v>
      </c>
      <c r="D18" s="9">
        <v>2</v>
      </c>
      <c r="E18" s="9">
        <v>3</v>
      </c>
      <c r="F18" s="9">
        <v>4</v>
      </c>
      <c r="G18" s="10">
        <v>5</v>
      </c>
      <c r="H18" s="10">
        <v>6</v>
      </c>
      <c r="I18" s="10">
        <v>7</v>
      </c>
      <c r="J18" s="10">
        <v>8</v>
      </c>
      <c r="K18" s="10">
        <v>9</v>
      </c>
      <c r="L18" s="10">
        <v>10</v>
      </c>
    </row>
    <row r="19" spans="1:12" x14ac:dyDescent="0.25">
      <c r="A19" s="9" t="s">
        <v>35</v>
      </c>
      <c r="B19" s="9" t="s">
        <v>36</v>
      </c>
      <c r="C19" s="9" t="str">
        <f>C3</f>
        <v>ND</v>
      </c>
      <c r="D19" s="9" t="str">
        <f t="shared" ref="D19:F19" si="0">D3</f>
        <v>AMI</v>
      </c>
      <c r="E19" s="9" t="str">
        <f t="shared" si="0"/>
        <v>TSMC-like</v>
      </c>
      <c r="F19" s="9" t="str">
        <f t="shared" si="0"/>
        <v>Book</v>
      </c>
      <c r="G19" s="3"/>
      <c r="H19" s="3"/>
      <c r="I19" s="3"/>
      <c r="J19" s="3"/>
      <c r="K19" s="3"/>
      <c r="L19" s="3"/>
    </row>
    <row r="20" spans="1:12" x14ac:dyDescent="0.25">
      <c r="A20" s="9" t="str">
        <f>A4</f>
        <v>Technology Node</v>
      </c>
      <c r="B20" s="9" t="str">
        <f t="shared" ref="B20:E20" si="1">B4</f>
        <v>nm</v>
      </c>
      <c r="C20" s="9">
        <f>C4</f>
        <v>2000</v>
      </c>
      <c r="D20" s="9">
        <f t="shared" ref="D20:F20" si="2">D4</f>
        <v>600</v>
      </c>
      <c r="E20" s="9">
        <f t="shared" si="2"/>
        <v>180</v>
      </c>
      <c r="F20" s="9">
        <f t="shared" si="2"/>
        <v>65</v>
      </c>
      <c r="G20" s="3"/>
      <c r="H20" s="3"/>
      <c r="I20" s="3"/>
      <c r="J20" s="3"/>
      <c r="K20" s="3"/>
      <c r="L20" s="3"/>
    </row>
    <row r="21" spans="1:12" x14ac:dyDescent="0.25">
      <c r="A21" s="1" t="str">
        <f>A5</f>
        <v>λ: Lambda</v>
      </c>
      <c r="B21" s="9" t="s">
        <v>0</v>
      </c>
      <c r="C21" s="9">
        <f>C5</f>
        <v>1000</v>
      </c>
      <c r="D21" s="9">
        <v>300</v>
      </c>
      <c r="E21" s="10">
        <v>90</v>
      </c>
      <c r="F21" s="10">
        <v>25</v>
      </c>
      <c r="G21" s="3"/>
      <c r="H21" s="3"/>
      <c r="I21" s="3"/>
      <c r="J21" s="3"/>
      <c r="K21" s="3"/>
      <c r="L21" s="3"/>
    </row>
    <row r="22" spans="1:12" x14ac:dyDescent="0.25">
      <c r="A22" s="1" t="str">
        <f t="shared" ref="A22:A27" si="3">A6</f>
        <v>L: Length</v>
      </c>
      <c r="B22" s="9" t="s">
        <v>0</v>
      </c>
      <c r="C22" s="9">
        <f t="shared" ref="C22:C27" si="4">C6</f>
        <v>2000</v>
      </c>
      <c r="D22" s="9">
        <v>600</v>
      </c>
      <c r="E22" s="9">
        <v>180</v>
      </c>
      <c r="F22" s="9">
        <v>50</v>
      </c>
      <c r="G22" s="3"/>
      <c r="H22" s="3"/>
      <c r="I22" s="3"/>
      <c r="J22" s="3"/>
      <c r="K22" s="3"/>
      <c r="L22" s="3"/>
    </row>
    <row r="23" spans="1:12" x14ac:dyDescent="0.25">
      <c r="A23" s="1" t="str">
        <f t="shared" si="3"/>
        <v>tox: gate oxide</v>
      </c>
      <c r="B23" s="9" t="s">
        <v>1</v>
      </c>
      <c r="C23" s="9">
        <f t="shared" si="4"/>
        <v>200</v>
      </c>
      <c r="D23" s="9">
        <v>100</v>
      </c>
      <c r="E23" s="10">
        <v>30</v>
      </c>
      <c r="F23" s="10">
        <v>10.5</v>
      </c>
      <c r="G23" s="3"/>
      <c r="H23" s="3"/>
      <c r="I23" s="3"/>
      <c r="J23" s="3"/>
      <c r="K23" s="3"/>
      <c r="L23" s="3"/>
    </row>
    <row r="24" spans="1:12" x14ac:dyDescent="0.25">
      <c r="A24" s="1" t="str">
        <f t="shared" si="3"/>
        <v>μ: mobility</v>
      </c>
      <c r="B24" s="9" t="s">
        <v>2</v>
      </c>
      <c r="C24" s="9">
        <f>2*C8</f>
        <v>700</v>
      </c>
      <c r="D24" s="9">
        <v>120</v>
      </c>
      <c r="E24" s="10">
        <f>E8/2</f>
        <v>50</v>
      </c>
      <c r="F24" s="10">
        <v>40</v>
      </c>
      <c r="G24" s="3"/>
      <c r="H24" s="3"/>
      <c r="I24" s="3"/>
      <c r="J24" s="3"/>
      <c r="K24" s="3"/>
      <c r="L24" s="3"/>
    </row>
    <row r="25" spans="1:12" x14ac:dyDescent="0.25">
      <c r="A25" s="1" t="str">
        <f t="shared" si="3"/>
        <v xml:space="preserve">Vt: threshold </v>
      </c>
      <c r="B25" s="9" t="s">
        <v>3</v>
      </c>
      <c r="C25" s="9">
        <f>-C9</f>
        <v>-0.5</v>
      </c>
      <c r="D25" s="9">
        <v>-0.7</v>
      </c>
      <c r="E25" s="10">
        <f>-E9</f>
        <v>-0.49</v>
      </c>
      <c r="F25" s="10">
        <v>-0.3</v>
      </c>
      <c r="G25" s="3"/>
      <c r="H25" s="3"/>
      <c r="I25" s="3"/>
      <c r="J25" s="3"/>
      <c r="K25" s="3"/>
      <c r="L25" s="3"/>
    </row>
    <row r="26" spans="1:12" x14ac:dyDescent="0.25">
      <c r="A26" s="1" t="str">
        <f t="shared" si="3"/>
        <v>εr: relative perm thinox</v>
      </c>
      <c r="B26" s="9" t="s">
        <v>34</v>
      </c>
      <c r="C26" s="9">
        <f t="shared" si="4"/>
        <v>3.9</v>
      </c>
      <c r="D26" s="9">
        <v>3.9</v>
      </c>
      <c r="E26" s="10">
        <v>3.9</v>
      </c>
      <c r="F26" s="10">
        <v>3.9</v>
      </c>
      <c r="G26" s="3"/>
      <c r="H26" s="3"/>
      <c r="I26" s="3"/>
      <c r="J26" s="3"/>
      <c r="K26" s="3"/>
      <c r="L26" s="3"/>
    </row>
    <row r="27" spans="1:12" x14ac:dyDescent="0.25">
      <c r="A27" s="1" t="str">
        <f t="shared" si="3"/>
        <v>Vmax (aka Vdd)</v>
      </c>
      <c r="B27" s="9" t="s">
        <v>3</v>
      </c>
      <c r="C27" s="9">
        <f t="shared" si="4"/>
        <v>5</v>
      </c>
      <c r="D27" s="9">
        <v>5</v>
      </c>
      <c r="E27" s="10">
        <v>1.8</v>
      </c>
      <c r="F27" s="10">
        <v>1</v>
      </c>
      <c r="G27" s="3"/>
      <c r="H27" s="3"/>
      <c r="I27" s="3"/>
      <c r="J27" s="3"/>
      <c r="K27" s="3"/>
      <c r="L27" s="3"/>
    </row>
    <row r="31" spans="1:12" x14ac:dyDescent="0.25">
      <c r="A31" s="19" t="s">
        <v>38</v>
      </c>
      <c r="B31" s="20"/>
      <c r="C31" s="23"/>
    </row>
    <row r="32" spans="1:12" x14ac:dyDescent="0.25">
      <c r="A32" s="1" t="s">
        <v>4</v>
      </c>
      <c r="B32" s="4">
        <v>8.8500000000000002E-14</v>
      </c>
      <c r="C32" s="1" t="s">
        <v>5</v>
      </c>
    </row>
    <row r="33" spans="1:3" x14ac:dyDescent="0.25">
      <c r="A33" s="1" t="s">
        <v>6</v>
      </c>
      <c r="B33" s="4">
        <v>1E-8</v>
      </c>
      <c r="C33" s="1" t="s">
        <v>7</v>
      </c>
    </row>
  </sheetData>
  <mergeCells count="3">
    <mergeCell ref="A1:L1"/>
    <mergeCell ref="A17:L17"/>
    <mergeCell ref="A31:C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workbookViewId="0">
      <selection activeCell="Z25" sqref="Z25"/>
    </sheetView>
  </sheetViews>
  <sheetFormatPr defaultRowHeight="15" x14ac:dyDescent="0.25"/>
  <cols>
    <col min="1" max="1" width="22" style="1" customWidth="1"/>
    <col min="2" max="2" width="9.140625" style="2"/>
    <col min="3" max="16384" width="9.140625" style="1"/>
  </cols>
  <sheetData>
    <row r="1" spans="1:13" x14ac:dyDescent="0.25">
      <c r="A1" s="7" t="s">
        <v>37</v>
      </c>
      <c r="B1" s="3">
        <v>2</v>
      </c>
      <c r="C1" s="9" t="str">
        <f>B4</f>
        <v>AMI</v>
      </c>
      <c r="F1" s="10"/>
      <c r="G1" s="10"/>
      <c r="H1" s="10"/>
      <c r="I1" s="10"/>
      <c r="J1" s="10"/>
      <c r="K1" s="10"/>
      <c r="L1" s="10"/>
      <c r="M1" s="10"/>
    </row>
    <row r="2" spans="1:13" s="9" customFormat="1" x14ac:dyDescent="0.25">
      <c r="A2" s="9" t="s">
        <v>40</v>
      </c>
      <c r="B2" s="3">
        <v>1</v>
      </c>
      <c r="C2" s="3">
        <f>B2*B9/C9</f>
        <v>2.9166666666666665</v>
      </c>
      <c r="F2" s="10"/>
      <c r="G2" s="10"/>
      <c r="H2" s="10"/>
      <c r="I2" s="10"/>
      <c r="J2" s="10"/>
      <c r="K2" s="10"/>
      <c r="L2" s="10"/>
      <c r="M2" s="10"/>
    </row>
    <row r="3" spans="1:13" s="9" customFormat="1" x14ac:dyDescent="0.25">
      <c r="B3" s="9" t="s">
        <v>20</v>
      </c>
      <c r="C3" s="9" t="s">
        <v>21</v>
      </c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" t="s">
        <v>39</v>
      </c>
      <c r="B4" s="10" t="str">
        <f>INDEX('Parameter Sets'!C3:L3,$B$1)</f>
        <v>AMI</v>
      </c>
      <c r="C4" s="10" t="str">
        <f>INDEX('Parameter Sets'!C19:L19,$B$1)</f>
        <v>AMI</v>
      </c>
      <c r="F4" s="10"/>
      <c r="G4" s="10"/>
      <c r="H4" s="10"/>
      <c r="I4" s="10"/>
      <c r="J4" s="10"/>
      <c r="K4" s="10"/>
      <c r="L4" s="10"/>
      <c r="M4" s="10"/>
    </row>
    <row r="5" spans="1:13" x14ac:dyDescent="0.25">
      <c r="A5" s="1" t="s">
        <v>48</v>
      </c>
      <c r="B5" s="10">
        <f>INDEX('Parameter Sets'!C4:L4,$B$1)</f>
        <v>600</v>
      </c>
      <c r="C5" s="10">
        <f>INDEX('Parameter Sets'!C20:L20,$B$1)</f>
        <v>600</v>
      </c>
      <c r="D5" s="1" t="s">
        <v>0</v>
      </c>
      <c r="F5" s="10"/>
      <c r="G5" s="10"/>
      <c r="H5" s="10"/>
      <c r="I5" s="10"/>
      <c r="J5" s="10"/>
      <c r="K5" s="10"/>
      <c r="L5" s="10"/>
      <c r="M5" s="10"/>
    </row>
    <row r="6" spans="1:13" x14ac:dyDescent="0.25">
      <c r="A6" s="1" t="s">
        <v>42</v>
      </c>
      <c r="B6" s="10">
        <f>INDEX('Parameter Sets'!C5:L5,$B$1)</f>
        <v>300</v>
      </c>
      <c r="C6" s="10">
        <f>INDEX('Parameter Sets'!C21:L21,$B$1)</f>
        <v>300</v>
      </c>
      <c r="D6" s="1" t="s">
        <v>0</v>
      </c>
      <c r="F6" s="24"/>
      <c r="G6" s="10"/>
      <c r="H6" s="10"/>
      <c r="I6" s="24"/>
      <c r="J6" s="24"/>
      <c r="K6" s="10"/>
      <c r="L6" s="10"/>
      <c r="M6" s="24"/>
    </row>
    <row r="7" spans="1:13" x14ac:dyDescent="0.25">
      <c r="A7" s="25" t="s">
        <v>41</v>
      </c>
      <c r="B7" s="10">
        <f>INDEX('Parameter Sets'!C6:L6,$B$1)</f>
        <v>600</v>
      </c>
      <c r="C7" s="10">
        <f>INDEX('Parameter Sets'!C22:L22,$B$1)</f>
        <v>600</v>
      </c>
      <c r="D7" s="25" t="s">
        <v>0</v>
      </c>
      <c r="F7" s="24"/>
      <c r="G7" s="10"/>
      <c r="H7" s="10"/>
      <c r="I7" s="24"/>
      <c r="J7" s="24"/>
      <c r="K7" s="10"/>
      <c r="L7" s="10"/>
      <c r="M7" s="24"/>
    </row>
    <row r="8" spans="1:13" ht="18" x14ac:dyDescent="0.35">
      <c r="A8" s="1" t="s">
        <v>43</v>
      </c>
      <c r="B8" s="10">
        <f>INDEX('Parameter Sets'!C7:L7,$B$1)</f>
        <v>100</v>
      </c>
      <c r="C8" s="10">
        <f>INDEX('Parameter Sets'!C23:L23,$B$1)</f>
        <v>100</v>
      </c>
      <c r="D8" s="1" t="s">
        <v>1</v>
      </c>
      <c r="F8" s="24"/>
      <c r="G8" s="10"/>
      <c r="H8" s="10"/>
      <c r="I8" s="24"/>
      <c r="J8" s="24"/>
      <c r="K8" s="10"/>
      <c r="L8" s="10"/>
      <c r="M8" s="24"/>
    </row>
    <row r="9" spans="1:13" x14ac:dyDescent="0.25">
      <c r="A9" s="1" t="s">
        <v>44</v>
      </c>
      <c r="B9" s="10">
        <f>INDEX('Parameter Sets'!C8:L8,$B$1)</f>
        <v>350</v>
      </c>
      <c r="C9" s="10">
        <f>INDEX('Parameter Sets'!C24:L24,$B$1)</f>
        <v>120</v>
      </c>
      <c r="D9" s="1" t="s">
        <v>2</v>
      </c>
      <c r="F9" s="24"/>
      <c r="G9" s="10"/>
      <c r="H9" s="10"/>
      <c r="I9" s="24"/>
      <c r="J9" s="24"/>
      <c r="K9" s="10"/>
      <c r="L9" s="10"/>
      <c r="M9" s="24"/>
    </row>
    <row r="10" spans="1:13" ht="18" x14ac:dyDescent="0.35">
      <c r="A10" s="1" t="s">
        <v>45</v>
      </c>
      <c r="B10" s="10">
        <f>INDEX('Parameter Sets'!C9:L9,$B$1)</f>
        <v>0.7</v>
      </c>
      <c r="C10" s="10">
        <f>INDEX('Parameter Sets'!C25:L25,$B$1)</f>
        <v>-0.7</v>
      </c>
      <c r="D10" s="1" t="s">
        <v>3</v>
      </c>
      <c r="F10" s="24"/>
      <c r="G10" s="10"/>
      <c r="H10" s="10"/>
      <c r="I10" s="24"/>
      <c r="J10" s="24"/>
      <c r="K10" s="10"/>
      <c r="L10" s="10"/>
      <c r="M10" s="24"/>
    </row>
    <row r="11" spans="1:13" ht="18" x14ac:dyDescent="0.35">
      <c r="A11" s="1" t="s">
        <v>46</v>
      </c>
      <c r="B11" s="10">
        <f>INDEX('Parameter Sets'!C10:L10,$B$1)</f>
        <v>3.9</v>
      </c>
      <c r="C11" s="10">
        <f>INDEX('Parameter Sets'!C26:L26,$B$1)</f>
        <v>3.9</v>
      </c>
      <c r="D11" s="1" t="s">
        <v>34</v>
      </c>
      <c r="F11" s="24"/>
      <c r="G11" s="10"/>
      <c r="H11" s="10"/>
      <c r="I11" s="24"/>
      <c r="J11" s="24"/>
      <c r="K11" s="10"/>
      <c r="L11" s="10"/>
      <c r="M11" s="24"/>
    </row>
    <row r="12" spans="1:13" x14ac:dyDescent="0.25">
      <c r="A12" s="1" t="s">
        <v>24</v>
      </c>
      <c r="B12" s="10">
        <f>INDEX('Parameter Sets'!C11:L11,$B$1)</f>
        <v>5</v>
      </c>
      <c r="C12" s="10">
        <f>INDEX('Parameter Sets'!C27:L27,$B$1)</f>
        <v>5</v>
      </c>
      <c r="D12" s="1" t="s">
        <v>3</v>
      </c>
      <c r="F12" s="24"/>
      <c r="G12" s="11"/>
      <c r="H12" s="10"/>
      <c r="I12" s="24"/>
      <c r="J12" s="24"/>
      <c r="K12" s="10"/>
      <c r="L12" s="10"/>
      <c r="M12" s="24"/>
    </row>
    <row r="13" spans="1:13" s="9" customFormat="1" x14ac:dyDescent="0.25">
      <c r="F13" s="10"/>
      <c r="G13" s="10"/>
      <c r="H13" s="10"/>
      <c r="I13" s="10"/>
      <c r="J13" s="10"/>
      <c r="K13" s="10"/>
      <c r="L13" s="10"/>
      <c r="M13" s="10"/>
    </row>
    <row r="15" spans="1:13" x14ac:dyDescent="0.25">
      <c r="A15" s="1" t="s">
        <v>16</v>
      </c>
    </row>
    <row r="16" spans="1:13" x14ac:dyDescent="0.25">
      <c r="A16" s="1" t="s">
        <v>8</v>
      </c>
      <c r="B16" s="2">
        <f>2*B6</f>
        <v>600</v>
      </c>
      <c r="C16" s="2">
        <f>2*C6</f>
        <v>600</v>
      </c>
      <c r="D16" s="1" t="s">
        <v>0</v>
      </c>
    </row>
    <row r="17" spans="1:12" x14ac:dyDescent="0.25">
      <c r="A17" s="1" t="s">
        <v>9</v>
      </c>
      <c r="B17" s="2">
        <f>B7*B2</f>
        <v>600</v>
      </c>
      <c r="C17" s="9">
        <f>C7*C2</f>
        <v>1750</v>
      </c>
      <c r="D17" s="1" t="s">
        <v>0</v>
      </c>
    </row>
    <row r="18" spans="1:12" x14ac:dyDescent="0.25">
      <c r="A18" s="1" t="s">
        <v>33</v>
      </c>
      <c r="B18" s="9">
        <f>B8/10</f>
        <v>10</v>
      </c>
      <c r="C18" s="9">
        <f>C8/10</f>
        <v>10</v>
      </c>
      <c r="D18" s="1" t="s">
        <v>0</v>
      </c>
    </row>
    <row r="19" spans="1:12" x14ac:dyDescent="0.25">
      <c r="A19" s="1" t="s">
        <v>13</v>
      </c>
      <c r="B19" s="5">
        <f>B11*'Parameter Sets'!$B$32</f>
        <v>3.4515E-13</v>
      </c>
      <c r="C19" s="5">
        <f>C11*'Parameter Sets'!$B$32</f>
        <v>3.4515E-13</v>
      </c>
      <c r="D19" s="1" t="s">
        <v>5</v>
      </c>
    </row>
    <row r="20" spans="1:12" x14ac:dyDescent="0.25">
      <c r="A20" s="1" t="s">
        <v>10</v>
      </c>
      <c r="B20" s="5">
        <f>B19/(B8*'Parameter Sets'!$B$33)</f>
        <v>3.4514999999999999E-7</v>
      </c>
      <c r="C20" s="5">
        <f>C19/(C8*'Parameter Sets'!$B$33)</f>
        <v>3.4514999999999999E-7</v>
      </c>
      <c r="D20" s="1" t="s">
        <v>11</v>
      </c>
    </row>
    <row r="21" spans="1:12" x14ac:dyDescent="0.25">
      <c r="A21" s="1" t="s">
        <v>12</v>
      </c>
      <c r="B21" s="5">
        <f>B9*B20*B17/B16</f>
        <v>1.2080249999999998E-4</v>
      </c>
      <c r="C21" s="5">
        <f>C9*C20*C17/C16</f>
        <v>1.2080250000000001E-4</v>
      </c>
      <c r="D21" s="1" t="s">
        <v>14</v>
      </c>
    </row>
    <row r="22" spans="1:12" x14ac:dyDescent="0.25">
      <c r="A22" s="1" t="s">
        <v>12</v>
      </c>
      <c r="B22" s="6">
        <f>B21*1000000</f>
        <v>120.80249999999998</v>
      </c>
      <c r="C22" s="6">
        <f>C21*1000000</f>
        <v>120.80250000000001</v>
      </c>
      <c r="D22" s="1" t="s">
        <v>32</v>
      </c>
    </row>
    <row r="23" spans="1:12" x14ac:dyDescent="0.25">
      <c r="A23" s="1" t="s">
        <v>51</v>
      </c>
      <c r="B23" s="6">
        <f>B20*B9*1000000</f>
        <v>120.80249999999999</v>
      </c>
      <c r="C23" s="6">
        <f>C20*C9*1000000</f>
        <v>41.417999999999999</v>
      </c>
      <c r="D23" s="1" t="s">
        <v>32</v>
      </c>
    </row>
    <row r="25" spans="1:12" x14ac:dyDescent="0.25">
      <c r="A25" s="1" t="s">
        <v>19</v>
      </c>
      <c r="B25" s="2">
        <f>B12/10</f>
        <v>0.5</v>
      </c>
      <c r="C25" s="1" t="s">
        <v>3</v>
      </c>
    </row>
    <row r="26" spans="1:12" x14ac:dyDescent="0.25">
      <c r="A26" s="1" t="s">
        <v>17</v>
      </c>
      <c r="B26" s="2">
        <f>B25</f>
        <v>0.5</v>
      </c>
      <c r="C26" s="1" t="s">
        <v>3</v>
      </c>
    </row>
    <row r="27" spans="1:12" x14ac:dyDescent="0.25">
      <c r="A27" s="26" t="s">
        <v>63</v>
      </c>
      <c r="B27" s="2">
        <f>B29-$B$10</f>
        <v>-0.7</v>
      </c>
      <c r="C27" s="2">
        <f t="shared" ref="C27:L27" si="0">C29-$B$10</f>
        <v>-0.19999999999999996</v>
      </c>
      <c r="D27" s="2">
        <f t="shared" si="0"/>
        <v>0.30000000000000004</v>
      </c>
      <c r="E27" s="2">
        <f t="shared" si="0"/>
        <v>0.8</v>
      </c>
      <c r="F27" s="2">
        <f t="shared" si="0"/>
        <v>1.3</v>
      </c>
      <c r="G27" s="2">
        <f t="shared" si="0"/>
        <v>1.8</v>
      </c>
      <c r="H27" s="2">
        <f t="shared" si="0"/>
        <v>2.2999999999999998</v>
      </c>
      <c r="I27" s="9">
        <f t="shared" si="0"/>
        <v>2.8</v>
      </c>
      <c r="J27" s="9">
        <f t="shared" si="0"/>
        <v>3.3</v>
      </c>
      <c r="K27" s="9">
        <f t="shared" si="0"/>
        <v>3.8</v>
      </c>
      <c r="L27" s="9">
        <f t="shared" si="0"/>
        <v>4.3</v>
      </c>
    </row>
    <row r="28" spans="1:12" x14ac:dyDescent="0.25">
      <c r="A28" s="1" t="s">
        <v>22</v>
      </c>
      <c r="B28" s="19" t="s">
        <v>15</v>
      </c>
      <c r="C28" s="20"/>
      <c r="D28" s="20"/>
      <c r="E28" s="20"/>
      <c r="F28" s="20"/>
      <c r="G28" s="20"/>
      <c r="H28" s="20"/>
      <c r="I28" s="21"/>
      <c r="J28" s="21"/>
      <c r="K28" s="21"/>
      <c r="L28" s="22"/>
    </row>
    <row r="29" spans="1:12" x14ac:dyDescent="0.25">
      <c r="A29" s="2" t="s">
        <v>18</v>
      </c>
      <c r="B29" s="2">
        <v>0</v>
      </c>
      <c r="C29" s="2">
        <f>B29+$B$26</f>
        <v>0.5</v>
      </c>
      <c r="D29" s="2">
        <f t="shared" ref="D29:G29" si="1">C29+$B$26</f>
        <v>1</v>
      </c>
      <c r="E29" s="2">
        <f t="shared" si="1"/>
        <v>1.5</v>
      </c>
      <c r="F29" s="2">
        <f t="shared" si="1"/>
        <v>2</v>
      </c>
      <c r="G29" s="2">
        <f t="shared" si="1"/>
        <v>2.5</v>
      </c>
      <c r="H29" s="2">
        <f>G29+$B$26</f>
        <v>3</v>
      </c>
      <c r="I29" s="9">
        <f t="shared" ref="I29:L29" si="2">H29+$B$26</f>
        <v>3.5</v>
      </c>
      <c r="J29" s="9">
        <f t="shared" si="2"/>
        <v>4</v>
      </c>
      <c r="K29" s="9">
        <f t="shared" si="2"/>
        <v>4.5</v>
      </c>
      <c r="L29" s="9">
        <f t="shared" si="2"/>
        <v>5</v>
      </c>
    </row>
    <row r="30" spans="1:12" x14ac:dyDescent="0.25">
      <c r="A30" s="2">
        <v>0</v>
      </c>
      <c r="B30" s="8">
        <f>IF(B$29&lt;$B$10,0,IF($A30&lt;B$27,$B$22*(B$27-($A30/2))*$A30,$B$22*(B$27^2)/2))</f>
        <v>0</v>
      </c>
      <c r="C30" s="8">
        <f>IF(C$29&lt;$B$10,0,IF($A30&lt;C$27,$B$22*(C$27-($A30/2))*$A30,$B$22*(C$27^2)/2))</f>
        <v>0</v>
      </c>
      <c r="D30" s="8">
        <f>IF(D$29&lt;$B$10,0,IF($A30&lt;D$27,$B$22*(D$27-($A30/2))*$A30,$B$22*(D$27^2)/2))</f>
        <v>0</v>
      </c>
      <c r="E30" s="8">
        <f>IF(E$29&lt;$B$10,0,IF($A30&lt;E$27,$B$22*(E$27-($A30/2))*$A30,$B$22*(E$27^2)/2))</f>
        <v>0</v>
      </c>
      <c r="F30" s="8">
        <f>IF(F$29&lt;$B$10,0,IF($A30&lt;F$27,$B$22*(F$27-($A30/2))*$A30,$B$22*(F$27^2)/2))</f>
        <v>0</v>
      </c>
      <c r="G30" s="8">
        <f>IF(G$29&lt;$B$10,0,IF($A30&lt;G$27,$B$22*(G$27-($A30/2))*$A30,$B$22*(G$27^2)/2))</f>
        <v>0</v>
      </c>
      <c r="H30" s="8">
        <f>IF(H$29&lt;$B$10,0,IF($A30&lt;H$27,$B$22*(H$27-($A30/2))*$A30,$B$22*(H$27^2)/2))</f>
        <v>0</v>
      </c>
      <c r="I30" s="8">
        <f>IF(I$29&lt;$B$10,0,IF($A30&lt;I$27,$B$22*(I$27-($A30/2))*$A30,$B$22*(I$27^2)/2))</f>
        <v>0</v>
      </c>
      <c r="J30" s="8">
        <f>IF(J$29&lt;$B$10,0,IF($A30&lt;J$27,$B$22*(J$27-($A30/2))*$A30,$B$22*(J$27^2)/2))</f>
        <v>0</v>
      </c>
      <c r="K30" s="8">
        <f>IF(K$29&lt;$B$10,0,IF($A30&lt;K$27,$B$22*(K$27-($A30/2))*$A30,$B$22*(K$27^2)/2))</f>
        <v>0</v>
      </c>
      <c r="L30" s="8">
        <f>IF(L$29&lt;$B$10,0,IF($A30&lt;L$27,$B$22*(L$27-($A30/2))*$A30,$B$22*(L$27^2)/2))</f>
        <v>0</v>
      </c>
    </row>
    <row r="31" spans="1:12" x14ac:dyDescent="0.25">
      <c r="A31" s="2">
        <f>A30+$B$25</f>
        <v>0.5</v>
      </c>
      <c r="B31" s="8">
        <f>IF(B$29&lt;$B$10,0,IF($A31&lt;B$27,$B$22*(B$27-($A31/2))*$A31,$B$22*(B$27^2)/2))</f>
        <v>0</v>
      </c>
      <c r="C31" s="8">
        <f>IF(C$29&lt;$B$10,0,IF($A31&lt;C$27,$B$22*(C$27-($A31/2))*$A31,$B$22*(C$27^2)/2))</f>
        <v>0</v>
      </c>
      <c r="D31" s="8">
        <f>IF(D$29&lt;$B$10,0,IF($A31&lt;D$27,$B$22*(D$27-($A31/2))*$A31,$B$22*(D$27^2)/2))</f>
        <v>5.436112500000001</v>
      </c>
      <c r="E31" s="8">
        <f>IF(E$29&lt;$B$10,0,IF($A31&lt;E$27,$B$22*(E$27-($A31/2))*$A31,$B$22*(E$27^2)/2))</f>
        <v>33.220687499999997</v>
      </c>
      <c r="F31" s="8">
        <f>IF(F$29&lt;$B$10,0,IF($A31&lt;F$27,$B$22*(F$27-($A31/2))*$A31,$B$22*(F$27^2)/2))</f>
        <v>63.421312499999992</v>
      </c>
      <c r="G31" s="8">
        <f>IF(G$29&lt;$B$10,0,IF($A31&lt;G$27,$B$22*(G$27-($A31/2))*$A31,$B$22*(G$27^2)/2))</f>
        <v>93.621937499999987</v>
      </c>
      <c r="H31" s="8">
        <f>IF(H$29&lt;$B$10,0,IF($A31&lt;H$27,$B$22*(H$27-($A31/2))*$A31,$B$22*(H$27^2)/2))</f>
        <v>123.82256249999998</v>
      </c>
      <c r="I31" s="8">
        <f>IF(I$29&lt;$B$10,0,IF($A31&lt;I$27,$B$22*(I$27-($A31/2))*$A31,$B$22*(I$27^2)/2))</f>
        <v>154.02318749999998</v>
      </c>
      <c r="J31" s="8">
        <f>IF(J$29&lt;$B$10,0,IF($A31&lt;J$27,$B$22*(J$27-($A31/2))*$A31,$B$22*(J$27^2)/2))</f>
        <v>184.22381249999995</v>
      </c>
      <c r="K31" s="8">
        <f>IF(K$29&lt;$B$10,0,IF($A31&lt;K$27,$B$22*(K$27-($A31/2))*$A31,$B$22*(K$27^2)/2))</f>
        <v>214.42443749999995</v>
      </c>
      <c r="L31" s="8">
        <f>IF(L$29&lt;$B$10,0,IF($A31&lt;L$27,$B$22*(L$27-($A31/2))*$A31,$B$22*(L$27^2)/2))</f>
        <v>244.62506249999996</v>
      </c>
    </row>
    <row r="32" spans="1:12" x14ac:dyDescent="0.25">
      <c r="A32" s="2">
        <f t="shared" ref="A32:A40" si="3">A31+$B$25</f>
        <v>1</v>
      </c>
      <c r="B32" s="8">
        <f>IF(B$29&lt;$B$10,0,IF($A32&lt;B$27,$B$22*(B$27-($A32/2))*$A32,$B$22*(B$27^2)/2))</f>
        <v>0</v>
      </c>
      <c r="C32" s="8">
        <f>IF(C$29&lt;$B$10,0,IF($A32&lt;C$27,$B$22*(C$27-($A32/2))*$A32,$B$22*(C$27^2)/2))</f>
        <v>0</v>
      </c>
      <c r="D32" s="8">
        <f>IF(D$29&lt;$B$10,0,IF($A32&lt;D$27,$B$22*(D$27-($A32/2))*$A32,$B$22*(D$27^2)/2))</f>
        <v>5.436112500000001</v>
      </c>
      <c r="E32" s="8">
        <f>IF(E$29&lt;$B$10,0,IF($A32&lt;E$27,$B$22*(E$27-($A32/2))*$A32,$B$22*(E$27^2)/2))</f>
        <v>38.656800000000004</v>
      </c>
      <c r="F32" s="8">
        <f>IF(F$29&lt;$B$10,0,IF($A32&lt;F$27,$B$22*(F$27-($A32/2))*$A32,$B$22*(F$27^2)/2))</f>
        <v>96.641999999999996</v>
      </c>
      <c r="G32" s="8">
        <f>IF(G$29&lt;$B$10,0,IF($A32&lt;G$27,$B$22*(G$27-($A32/2))*$A32,$B$22*(G$27^2)/2))</f>
        <v>157.04324999999997</v>
      </c>
      <c r="H32" s="8">
        <f>IF(H$29&lt;$B$10,0,IF($A32&lt;H$27,$B$22*(H$27-($A32/2))*$A32,$B$22*(H$27^2)/2))</f>
        <v>217.44449999999995</v>
      </c>
      <c r="I32" s="8">
        <f>IF(I$29&lt;$B$10,0,IF($A32&lt;I$27,$B$22*(I$27-($A32/2))*$A32,$B$22*(I$27^2)/2))</f>
        <v>277.84574999999995</v>
      </c>
      <c r="J32" s="8">
        <f>IF(J$29&lt;$B$10,0,IF($A32&lt;J$27,$B$22*(J$27-($A32/2))*$A32,$B$22*(J$27^2)/2))</f>
        <v>338.2469999999999</v>
      </c>
      <c r="K32" s="8">
        <f>IF(K$29&lt;$B$10,0,IF($A32&lt;K$27,$B$22*(K$27-($A32/2))*$A32,$B$22*(K$27^2)/2))</f>
        <v>398.6482499999999</v>
      </c>
      <c r="L32" s="8">
        <f>IF(L$29&lt;$B$10,0,IF($A32&lt;L$27,$B$22*(L$27-($A32/2))*$A32,$B$22*(L$27^2)/2))</f>
        <v>459.04949999999991</v>
      </c>
    </row>
    <row r="33" spans="1:12" x14ac:dyDescent="0.25">
      <c r="A33" s="2">
        <f t="shared" si="3"/>
        <v>1.5</v>
      </c>
      <c r="B33" s="8">
        <f>IF(B$29&lt;$B$10,0,IF($A33&lt;B$27,$B$22*(B$27-($A33/2))*$A33,$B$22*(B$27^2)/2))</f>
        <v>0</v>
      </c>
      <c r="C33" s="8">
        <f>IF(C$29&lt;$B$10,0,IF($A33&lt;C$27,$B$22*(C$27-($A33/2))*$A33,$B$22*(C$27^2)/2))</f>
        <v>0</v>
      </c>
      <c r="D33" s="8">
        <f>IF(D$29&lt;$B$10,0,IF($A33&lt;D$27,$B$22*(D$27-($A33/2))*$A33,$B$22*(D$27^2)/2))</f>
        <v>5.436112500000001</v>
      </c>
      <c r="E33" s="8">
        <f>IF(E$29&lt;$B$10,0,IF($A33&lt;E$27,$B$22*(E$27-($A33/2))*$A33,$B$22*(E$27^2)/2))</f>
        <v>38.656800000000004</v>
      </c>
      <c r="F33" s="8">
        <f>IF(F$29&lt;$B$10,0,IF($A33&lt;F$27,$B$22*(F$27-($A33/2))*$A33,$B$22*(F$27^2)/2))</f>
        <v>102.07811249999999</v>
      </c>
      <c r="G33" s="8">
        <f>IF(G$29&lt;$B$10,0,IF($A33&lt;G$27,$B$22*(G$27-($A33/2))*$A33,$B$22*(G$27^2)/2))</f>
        <v>190.26393749999997</v>
      </c>
      <c r="H33" s="8">
        <f>IF(H$29&lt;$B$10,0,IF($A33&lt;H$27,$B$22*(H$27-($A33/2))*$A33,$B$22*(H$27^2)/2))</f>
        <v>280.86581249999995</v>
      </c>
      <c r="I33" s="8">
        <f>IF(I$29&lt;$B$10,0,IF($A33&lt;I$27,$B$22*(I$27-($A33/2))*$A33,$B$22*(I$27^2)/2))</f>
        <v>371.4676874999999</v>
      </c>
      <c r="J33" s="8">
        <f>IF(J$29&lt;$B$10,0,IF($A33&lt;J$27,$B$22*(J$27-($A33/2))*$A33,$B$22*(J$27^2)/2))</f>
        <v>462.06956249999996</v>
      </c>
      <c r="K33" s="8">
        <f>IF(K$29&lt;$B$10,0,IF($A33&lt;K$27,$B$22*(K$27-($A33/2))*$A33,$B$22*(K$27^2)/2))</f>
        <v>552.67143749999991</v>
      </c>
      <c r="L33" s="8">
        <f>IF(L$29&lt;$B$10,0,IF($A33&lt;L$27,$B$22*(L$27-($A33/2))*$A33,$B$22*(L$27^2)/2))</f>
        <v>643.27331249999986</v>
      </c>
    </row>
    <row r="34" spans="1:12" x14ac:dyDescent="0.25">
      <c r="A34" s="2">
        <f t="shared" si="3"/>
        <v>2</v>
      </c>
      <c r="B34" s="8">
        <f>IF(B$29&lt;$B$10,0,IF($A34&lt;B$27,$B$22*(B$27-($A34/2))*$A34,$B$22*(B$27^2)/2))</f>
        <v>0</v>
      </c>
      <c r="C34" s="8">
        <f>IF(C$29&lt;$B$10,0,IF($A34&lt;C$27,$B$22*(C$27-($A34/2))*$A34,$B$22*(C$27^2)/2))</f>
        <v>0</v>
      </c>
      <c r="D34" s="8">
        <f>IF(D$29&lt;$B$10,0,IF($A34&lt;D$27,$B$22*(D$27-($A34/2))*$A34,$B$22*(D$27^2)/2))</f>
        <v>5.436112500000001</v>
      </c>
      <c r="E34" s="8">
        <f>IF(E$29&lt;$B$10,0,IF($A34&lt;E$27,$B$22*(E$27-($A34/2))*$A34,$B$22*(E$27^2)/2))</f>
        <v>38.656800000000004</v>
      </c>
      <c r="F34" s="8">
        <f>IF(F$29&lt;$B$10,0,IF($A34&lt;F$27,$B$22*(F$27-($A34/2))*$A34,$B$22*(F$27^2)/2))</f>
        <v>102.07811249999999</v>
      </c>
      <c r="G34" s="8">
        <f>IF(G$29&lt;$B$10,0,IF($A34&lt;G$27,$B$22*(G$27-($A34/2))*$A34,$B$22*(G$27^2)/2))</f>
        <v>195.70004999999998</v>
      </c>
      <c r="H34" s="8">
        <f>IF(H$29&lt;$B$10,0,IF($A34&lt;H$27,$B$22*(H$27-($A34/2))*$A34,$B$22*(H$27^2)/2))</f>
        <v>314.08649999999989</v>
      </c>
      <c r="I34" s="8">
        <f>IF(I$29&lt;$B$10,0,IF($A34&lt;I$27,$B$22*(I$27-($A34/2))*$A34,$B$22*(I$27^2)/2))</f>
        <v>434.8889999999999</v>
      </c>
      <c r="J34" s="8">
        <f>IF(J$29&lt;$B$10,0,IF($A34&lt;J$27,$B$22*(J$27-($A34/2))*$A34,$B$22*(J$27^2)/2))</f>
        <v>555.69149999999991</v>
      </c>
      <c r="K34" s="8">
        <f>IF(K$29&lt;$B$10,0,IF($A34&lt;K$27,$B$22*(K$27-($A34/2))*$A34,$B$22*(K$27^2)/2))</f>
        <v>676.4939999999998</v>
      </c>
      <c r="L34" s="8">
        <f>IF(L$29&lt;$B$10,0,IF($A34&lt;L$27,$B$22*(L$27-($A34/2))*$A34,$B$22*(L$27^2)/2))</f>
        <v>797.29649999999981</v>
      </c>
    </row>
    <row r="35" spans="1:12" x14ac:dyDescent="0.25">
      <c r="A35" s="2">
        <f t="shared" si="3"/>
        <v>2.5</v>
      </c>
      <c r="B35" s="8">
        <f>IF(B$29&lt;$B$10,0,IF($A35&lt;B$27,$B$22*(B$27-($A35/2))*$A35,$B$22*(B$27^2)/2))</f>
        <v>0</v>
      </c>
      <c r="C35" s="8">
        <f>IF(C$29&lt;$B$10,0,IF($A35&lt;C$27,$B$22*(C$27-($A35/2))*$A35,$B$22*(C$27^2)/2))</f>
        <v>0</v>
      </c>
      <c r="D35" s="8">
        <f>IF(D$29&lt;$B$10,0,IF($A35&lt;D$27,$B$22*(D$27-($A35/2))*$A35,$B$22*(D$27^2)/2))</f>
        <v>5.436112500000001</v>
      </c>
      <c r="E35" s="8">
        <f>IF(E$29&lt;$B$10,0,IF($A35&lt;E$27,$B$22*(E$27-($A35/2))*$A35,$B$22*(E$27^2)/2))</f>
        <v>38.656800000000004</v>
      </c>
      <c r="F35" s="8">
        <f>IF(F$29&lt;$B$10,0,IF($A35&lt;F$27,$B$22*(F$27-($A35/2))*$A35,$B$22*(F$27^2)/2))</f>
        <v>102.07811249999999</v>
      </c>
      <c r="G35" s="8">
        <f>IF(G$29&lt;$B$10,0,IF($A35&lt;G$27,$B$22*(G$27-($A35/2))*$A35,$B$22*(G$27^2)/2))</f>
        <v>195.70004999999998</v>
      </c>
      <c r="H35" s="8">
        <f>IF(H$29&lt;$B$10,0,IF($A35&lt;H$27,$B$22*(H$27-($A35/2))*$A35,$B$22*(H$27^2)/2))</f>
        <v>319.52261249999992</v>
      </c>
      <c r="I35" s="8">
        <f>IF(I$29&lt;$B$10,0,IF($A35&lt;I$27,$B$22*(I$27-($A35/2))*$A35,$B$22*(I$27^2)/2))</f>
        <v>468.10968749999984</v>
      </c>
      <c r="J35" s="8">
        <f>IF(J$29&lt;$B$10,0,IF($A35&lt;J$27,$B$22*(J$27-($A35/2))*$A35,$B$22*(J$27^2)/2))</f>
        <v>619.1128124999999</v>
      </c>
      <c r="K35" s="8">
        <f>IF(K$29&lt;$B$10,0,IF($A35&lt;K$27,$B$22*(K$27-($A35/2))*$A35,$B$22*(K$27^2)/2))</f>
        <v>770.11593749999986</v>
      </c>
      <c r="L35" s="8">
        <f>IF(L$29&lt;$B$10,0,IF($A35&lt;L$27,$B$22*(L$27-($A35/2))*$A35,$B$22*(L$27^2)/2))</f>
        <v>921.1190624999997</v>
      </c>
    </row>
    <row r="36" spans="1:12" x14ac:dyDescent="0.25">
      <c r="A36" s="2">
        <f t="shared" si="3"/>
        <v>3</v>
      </c>
      <c r="B36" s="8">
        <f>IF(B$29&lt;$B$10,0,IF($A36&lt;B$27,$B$22*(B$27-($A36/2))*$A36,$B$22*(B$27^2)/2))</f>
        <v>0</v>
      </c>
      <c r="C36" s="8">
        <f>IF(C$29&lt;$B$10,0,IF($A36&lt;C$27,$B$22*(C$27-($A36/2))*$A36,$B$22*(C$27^2)/2))</f>
        <v>0</v>
      </c>
      <c r="D36" s="8">
        <f>IF(D$29&lt;$B$10,0,IF($A36&lt;D$27,$B$22*(D$27-($A36/2))*$A36,$B$22*(D$27^2)/2))</f>
        <v>5.436112500000001</v>
      </c>
      <c r="E36" s="8">
        <f>IF(E$29&lt;$B$10,0,IF($A36&lt;E$27,$B$22*(E$27-($A36/2))*$A36,$B$22*(E$27^2)/2))</f>
        <v>38.656800000000004</v>
      </c>
      <c r="F36" s="8">
        <f>IF(F$29&lt;$B$10,0,IF($A36&lt;F$27,$B$22*(F$27-($A36/2))*$A36,$B$22*(F$27^2)/2))</f>
        <v>102.07811249999999</v>
      </c>
      <c r="G36" s="8">
        <f>IF(G$29&lt;$B$10,0,IF($A36&lt;G$27,$B$22*(G$27-($A36/2))*$A36,$B$22*(G$27^2)/2))</f>
        <v>195.70004999999998</v>
      </c>
      <c r="H36" s="8">
        <f>IF(H$29&lt;$B$10,0,IF($A36&lt;H$27,$B$22*(H$27-($A36/2))*$A36,$B$22*(H$27^2)/2))</f>
        <v>319.52261249999992</v>
      </c>
      <c r="I36" s="8">
        <f>IF(I$29&lt;$B$10,0,IF($A36&lt;I$27,$B$22*(I$27-($A36/2))*$A36,$B$22*(I$27^2)/2))</f>
        <v>473.54579999999987</v>
      </c>
      <c r="J36" s="8">
        <f>IF(J$29&lt;$B$10,0,IF($A36&lt;J$27,$B$22*(J$27-($A36/2))*$A36,$B$22*(J$27^2)/2))</f>
        <v>652.33349999999984</v>
      </c>
      <c r="K36" s="8">
        <f>IF(K$29&lt;$B$10,0,IF($A36&lt;K$27,$B$22*(K$27-($A36/2))*$A36,$B$22*(K$27^2)/2))</f>
        <v>833.53724999999986</v>
      </c>
      <c r="L36" s="8">
        <f>IF(L$29&lt;$B$10,0,IF($A36&lt;L$27,$B$22*(L$27-($A36/2))*$A36,$B$22*(L$27^2)/2))</f>
        <v>1014.7409999999998</v>
      </c>
    </row>
    <row r="37" spans="1:12" x14ac:dyDescent="0.25">
      <c r="A37" s="2">
        <f t="shared" si="3"/>
        <v>3.5</v>
      </c>
      <c r="B37" s="8">
        <f>IF(B$29&lt;$B$10,0,IF($A37&lt;B$27,$B$22*(B$27-($A37/2))*$A37,$B$22*(B$27^2)/2))</f>
        <v>0</v>
      </c>
      <c r="C37" s="8">
        <f>IF(C$29&lt;$B$10,0,IF($A37&lt;C$27,$B$22*(C$27-($A37/2))*$A37,$B$22*(C$27^2)/2))</f>
        <v>0</v>
      </c>
      <c r="D37" s="8">
        <f>IF(D$29&lt;$B$10,0,IF($A37&lt;D$27,$B$22*(D$27-($A37/2))*$A37,$B$22*(D$27^2)/2))</f>
        <v>5.436112500000001</v>
      </c>
      <c r="E37" s="8">
        <f>IF(E$29&lt;$B$10,0,IF($A37&lt;E$27,$B$22*(E$27-($A37/2))*$A37,$B$22*(E$27^2)/2))</f>
        <v>38.656800000000004</v>
      </c>
      <c r="F37" s="8">
        <f>IF(F$29&lt;$B$10,0,IF($A37&lt;F$27,$B$22*(F$27-($A37/2))*$A37,$B$22*(F$27^2)/2))</f>
        <v>102.07811249999999</v>
      </c>
      <c r="G37" s="8">
        <f>IF(G$29&lt;$B$10,0,IF($A37&lt;G$27,$B$22*(G$27-($A37/2))*$A37,$B$22*(G$27^2)/2))</f>
        <v>195.70004999999998</v>
      </c>
      <c r="H37" s="8">
        <f>IF(H$29&lt;$B$10,0,IF($A37&lt;H$27,$B$22*(H$27-($A37/2))*$A37,$B$22*(H$27^2)/2))</f>
        <v>319.52261249999992</v>
      </c>
      <c r="I37" s="8">
        <f>IF(I$29&lt;$B$10,0,IF($A37&lt;I$27,$B$22*(I$27-($A37/2))*$A37,$B$22*(I$27^2)/2))</f>
        <v>473.54579999999987</v>
      </c>
      <c r="J37" s="8">
        <f>IF(J$29&lt;$B$10,0,IF($A37&lt;J$27,$B$22*(J$27-($A37/2))*$A37,$B$22*(J$27^2)/2))</f>
        <v>657.76961249999977</v>
      </c>
      <c r="K37" s="8">
        <f>IF(K$29&lt;$B$10,0,IF($A37&lt;K$27,$B$22*(K$27-($A37/2))*$A37,$B$22*(K$27^2)/2))</f>
        <v>866.7579374999998</v>
      </c>
      <c r="L37" s="8">
        <f>IF(L$29&lt;$B$10,0,IF($A37&lt;L$27,$B$22*(L$27-($A37/2))*$A37,$B$22*(L$27^2)/2))</f>
        <v>1078.1623124999999</v>
      </c>
    </row>
    <row r="38" spans="1:12" x14ac:dyDescent="0.25">
      <c r="A38" s="9">
        <f t="shared" si="3"/>
        <v>4</v>
      </c>
      <c r="B38" s="8">
        <f>IF(B$29&lt;$B$10,0,IF($A38&lt;B$27,$B$22*(B$27-($A38/2))*$A38,$B$22*(B$27^2)/2))</f>
        <v>0</v>
      </c>
      <c r="C38" s="8">
        <f>IF(C$29&lt;$B$10,0,IF($A38&lt;C$27,$B$22*(C$27-($A38/2))*$A38,$B$22*(C$27^2)/2))</f>
        <v>0</v>
      </c>
      <c r="D38" s="8">
        <f>IF(D$29&lt;$B$10,0,IF($A38&lt;D$27,$B$22*(D$27-($A38/2))*$A38,$B$22*(D$27^2)/2))</f>
        <v>5.436112500000001</v>
      </c>
      <c r="E38" s="8">
        <f>IF(E$29&lt;$B$10,0,IF($A38&lt;E$27,$B$22*(E$27-($A38/2))*$A38,$B$22*(E$27^2)/2))</f>
        <v>38.656800000000004</v>
      </c>
      <c r="F38" s="8">
        <f>IF(F$29&lt;$B$10,0,IF($A38&lt;F$27,$B$22*(F$27-($A38/2))*$A38,$B$22*(F$27^2)/2))</f>
        <v>102.07811249999999</v>
      </c>
      <c r="G38" s="8">
        <f>IF(G$29&lt;$B$10,0,IF($A38&lt;G$27,$B$22*(G$27-($A38/2))*$A38,$B$22*(G$27^2)/2))</f>
        <v>195.70004999999998</v>
      </c>
      <c r="H38" s="8">
        <f>IF(H$29&lt;$B$10,0,IF($A38&lt;H$27,$B$22*(H$27-($A38/2))*$A38,$B$22*(H$27^2)/2))</f>
        <v>319.52261249999992</v>
      </c>
      <c r="I38" s="8">
        <f>IF(I$29&lt;$B$10,0,IF($A38&lt;I$27,$B$22*(I$27-($A38/2))*$A38,$B$22*(I$27^2)/2))</f>
        <v>473.54579999999987</v>
      </c>
      <c r="J38" s="8">
        <f>IF(J$29&lt;$B$10,0,IF($A38&lt;J$27,$B$22*(J$27-($A38/2))*$A38,$B$22*(J$27^2)/2))</f>
        <v>657.76961249999977</v>
      </c>
      <c r="K38" s="8">
        <f>IF(K$29&lt;$B$10,0,IF($A38&lt;K$27,$B$22*(K$27-($A38/2))*$A38,$B$22*(K$27^2)/2))</f>
        <v>872.19404999999983</v>
      </c>
      <c r="L38" s="8">
        <f>IF(L$29&lt;$B$10,0,IF($A38&lt;L$27,$B$22*(L$27-($A38/2))*$A38,$B$22*(L$27^2)/2))</f>
        <v>1111.3829999999998</v>
      </c>
    </row>
    <row r="39" spans="1:12" x14ac:dyDescent="0.25">
      <c r="A39" s="9">
        <f t="shared" si="3"/>
        <v>4.5</v>
      </c>
      <c r="B39" s="8">
        <f>IF(B$29&lt;$B$10,0,IF($A39&lt;B$27,$B$22*(B$27-($A39/2))*$A39,$B$22*(B$27^2)/2))</f>
        <v>0</v>
      </c>
      <c r="C39" s="8">
        <f>IF(C$29&lt;$B$10,0,IF($A39&lt;C$27,$B$22*(C$27-($A39/2))*$A39,$B$22*(C$27^2)/2))</f>
        <v>0</v>
      </c>
      <c r="D39" s="8">
        <f>IF(D$29&lt;$B$10,0,IF($A39&lt;D$27,$B$22*(D$27-($A39/2))*$A39,$B$22*(D$27^2)/2))</f>
        <v>5.436112500000001</v>
      </c>
      <c r="E39" s="8">
        <f>IF(E$29&lt;$B$10,0,IF($A39&lt;E$27,$B$22*(E$27-($A39/2))*$A39,$B$22*(E$27^2)/2))</f>
        <v>38.656800000000004</v>
      </c>
      <c r="F39" s="8">
        <f>IF(F$29&lt;$B$10,0,IF($A39&lt;F$27,$B$22*(F$27-($A39/2))*$A39,$B$22*(F$27^2)/2))</f>
        <v>102.07811249999999</v>
      </c>
      <c r="G39" s="8">
        <f>IF(G$29&lt;$B$10,0,IF($A39&lt;G$27,$B$22*(G$27-($A39/2))*$A39,$B$22*(G$27^2)/2))</f>
        <v>195.70004999999998</v>
      </c>
      <c r="H39" s="8">
        <f>IF(H$29&lt;$B$10,0,IF($A39&lt;H$27,$B$22*(H$27-($A39/2))*$A39,$B$22*(H$27^2)/2))</f>
        <v>319.52261249999992</v>
      </c>
      <c r="I39" s="8">
        <f>IF(I$29&lt;$B$10,0,IF($A39&lt;I$27,$B$22*(I$27-($A39/2))*$A39,$B$22*(I$27^2)/2))</f>
        <v>473.54579999999987</v>
      </c>
      <c r="J39" s="8">
        <f>IF(J$29&lt;$B$10,0,IF($A39&lt;J$27,$B$22*(J$27-($A39/2))*$A39,$B$22*(J$27^2)/2))</f>
        <v>657.76961249999977</v>
      </c>
      <c r="K39" s="8">
        <f>IF(K$29&lt;$B$10,0,IF($A39&lt;K$27,$B$22*(K$27-($A39/2))*$A39,$B$22*(K$27^2)/2))</f>
        <v>872.19404999999983</v>
      </c>
      <c r="L39" s="8">
        <f>IF(L$29&lt;$B$10,0,IF($A39&lt;L$27,$B$22*(L$27-($A39/2))*$A39,$B$22*(L$27^2)/2))</f>
        <v>1116.8191124999996</v>
      </c>
    </row>
    <row r="40" spans="1:12" x14ac:dyDescent="0.25">
      <c r="A40" s="9">
        <f t="shared" si="3"/>
        <v>5</v>
      </c>
      <c r="B40" s="8">
        <f>IF(B$29&lt;$B$10,0,IF($A40&lt;B$27,$B$22*(B$27-($A40/2))*$A40,$B$22*(B$27^2)/2))</f>
        <v>0</v>
      </c>
      <c r="C40" s="8">
        <f>IF(C$29&lt;$B$10,0,IF($A40&lt;C$27,$B$22*(C$27-($A40/2))*$A40,$B$22*(C$27^2)/2))</f>
        <v>0</v>
      </c>
      <c r="D40" s="8">
        <f>IF(D$29&lt;$B$10,0,IF($A40&lt;D$27,$B$22*(D$27-($A40/2))*$A40,$B$22*(D$27^2)/2))</f>
        <v>5.436112500000001</v>
      </c>
      <c r="E40" s="8">
        <f>IF(E$29&lt;$B$10,0,IF($A40&lt;E$27,$B$22*(E$27-($A40/2))*$A40,$B$22*(E$27^2)/2))</f>
        <v>38.656800000000004</v>
      </c>
      <c r="F40" s="8">
        <f>IF(F$29&lt;$B$10,0,IF($A40&lt;F$27,$B$22*(F$27-($A40/2))*$A40,$B$22*(F$27^2)/2))</f>
        <v>102.07811249999999</v>
      </c>
      <c r="G40" s="8">
        <f>IF(G$29&lt;$B$10,0,IF($A40&lt;G$27,$B$22*(G$27-($A40/2))*$A40,$B$22*(G$27^2)/2))</f>
        <v>195.70004999999998</v>
      </c>
      <c r="H40" s="8">
        <f>IF(H$29&lt;$B$10,0,IF($A40&lt;H$27,$B$22*(H$27-($A40/2))*$A40,$B$22*(H$27^2)/2))</f>
        <v>319.52261249999992</v>
      </c>
      <c r="I40" s="8">
        <f>IF(I$29&lt;$B$10,0,IF($A40&lt;I$27,$B$22*(I$27-($A40/2))*$A40,$B$22*(I$27^2)/2))</f>
        <v>473.54579999999987</v>
      </c>
      <c r="J40" s="8">
        <f>IF(J$29&lt;$B$10,0,IF($A40&lt;J$27,$B$22*(J$27-($A40/2))*$A40,$B$22*(J$27^2)/2))</f>
        <v>657.76961249999977</v>
      </c>
      <c r="K40" s="8">
        <f>IF(K$29&lt;$B$10,0,IF($A40&lt;K$27,$B$22*(K$27-($A40/2))*$A40,$B$22*(K$27^2)/2))</f>
        <v>872.19404999999983</v>
      </c>
      <c r="L40" s="8">
        <f>IF(L$29&lt;$B$10,0,IF($A40&lt;L$27,$B$22*(L$27-($A40/2))*$A40,$B$22*(L$27^2)/2))</f>
        <v>1116.8191124999996</v>
      </c>
    </row>
    <row r="42" spans="1:12" x14ac:dyDescent="0.25">
      <c r="A42" s="26" t="s">
        <v>63</v>
      </c>
      <c r="B42" s="2">
        <f>B44-$C$10</f>
        <v>0.7</v>
      </c>
      <c r="C42" s="2">
        <f t="shared" ref="C42:L42" si="4">C44-$C$10</f>
        <v>0.19999999999999996</v>
      </c>
      <c r="D42" s="2">
        <f t="shared" si="4"/>
        <v>-0.30000000000000004</v>
      </c>
      <c r="E42" s="2">
        <f t="shared" si="4"/>
        <v>-0.8</v>
      </c>
      <c r="F42" s="2">
        <f t="shared" si="4"/>
        <v>-1.3</v>
      </c>
      <c r="G42" s="2">
        <f t="shared" si="4"/>
        <v>-1.8</v>
      </c>
      <c r="H42" s="2">
        <f t="shared" si="4"/>
        <v>-2.2999999999999998</v>
      </c>
      <c r="I42" s="9">
        <f t="shared" si="4"/>
        <v>-2.8</v>
      </c>
      <c r="J42" s="9">
        <f t="shared" si="4"/>
        <v>-3.3</v>
      </c>
      <c r="K42" s="9">
        <f t="shared" si="4"/>
        <v>-3.8</v>
      </c>
      <c r="L42" s="9">
        <f t="shared" si="4"/>
        <v>-4.3</v>
      </c>
    </row>
    <row r="43" spans="1:12" x14ac:dyDescent="0.25">
      <c r="A43" s="1" t="s">
        <v>25</v>
      </c>
      <c r="B43" s="19" t="s">
        <v>15</v>
      </c>
      <c r="C43" s="20"/>
      <c r="D43" s="20"/>
      <c r="E43" s="20"/>
      <c r="F43" s="20"/>
      <c r="G43" s="20"/>
      <c r="H43" s="20"/>
      <c r="I43" s="21"/>
      <c r="J43" s="21"/>
      <c r="K43" s="21"/>
      <c r="L43" s="22"/>
    </row>
    <row r="44" spans="1:12" x14ac:dyDescent="0.25">
      <c r="A44" s="2" t="s">
        <v>18</v>
      </c>
      <c r="B44" s="12">
        <f>-B29</f>
        <v>0</v>
      </c>
      <c r="C44" s="12">
        <f t="shared" ref="C44:H44" si="5">-C29</f>
        <v>-0.5</v>
      </c>
      <c r="D44" s="12">
        <f t="shared" si="5"/>
        <v>-1</v>
      </c>
      <c r="E44" s="12">
        <f t="shared" si="5"/>
        <v>-1.5</v>
      </c>
      <c r="F44" s="12">
        <f t="shared" si="5"/>
        <v>-2</v>
      </c>
      <c r="G44" s="12">
        <f t="shared" si="5"/>
        <v>-2.5</v>
      </c>
      <c r="H44" s="12">
        <f t="shared" si="5"/>
        <v>-3</v>
      </c>
      <c r="I44" s="12">
        <f t="shared" ref="I44:L44" si="6">-I29</f>
        <v>-3.5</v>
      </c>
      <c r="J44" s="12">
        <f t="shared" si="6"/>
        <v>-4</v>
      </c>
      <c r="K44" s="12">
        <f t="shared" si="6"/>
        <v>-4.5</v>
      </c>
      <c r="L44" s="12">
        <f t="shared" si="6"/>
        <v>-5</v>
      </c>
    </row>
    <row r="45" spans="1:12" x14ac:dyDescent="0.25">
      <c r="A45" s="2">
        <f>-A30</f>
        <v>0</v>
      </c>
      <c r="B45" s="12">
        <f>-IF(B$42&gt;$C$10,0,IF($A45&gt;B$42,$C$22*(B$42-($A45/2))*$A45,$C$22*(B$42^2)/2))</f>
        <v>0</v>
      </c>
      <c r="C45" s="12">
        <f>-IF(C$42&gt;$C$10,0,IF($A45&gt;C$42,$C$22*(C$42-($A45/2))*$A45,$C$22*(C$42^2)/2))</f>
        <v>0</v>
      </c>
      <c r="D45" s="12">
        <f>-IF(D$42&gt;$C$10,0,IF($A45&gt;D$42,$C$22*(D$42-($A45/2))*$A45,$C$22*(D$42^2)/2))</f>
        <v>0</v>
      </c>
      <c r="E45" s="12">
        <f>-IF(E$42&gt;$C$10,0,IF($A45&gt;E$42,$C$22*(E$42-($A45/2))*$A45,$C$22*(E$42^2)/2))</f>
        <v>0</v>
      </c>
      <c r="F45" s="12">
        <f>-IF(F$42&gt;$C$10,0,IF($A45&gt;F$42,$C$22*(F$42-($A45/2))*$A45,$C$22*(F$42^2)/2))</f>
        <v>0</v>
      </c>
      <c r="G45" s="12">
        <f>-IF(G$42&gt;$C$10,0,IF($A45&gt;G$42,$C$22*(G$42-($A45/2))*$A45,$C$22*(G$42^2)/2))</f>
        <v>0</v>
      </c>
      <c r="H45" s="12">
        <f>-IF(H$42&gt;$C$10,0,IF($A45&gt;H$42,$C$22*(H$42-($A45/2))*$A45,$C$22*(H$42^2)/2))</f>
        <v>0</v>
      </c>
      <c r="I45" s="12">
        <f>-IF(I$42&gt;$C$10,0,IF($A45&gt;I$42,$C$22*(I$42-($A45/2))*$A45,$C$22*(I$42^2)/2))</f>
        <v>0</v>
      </c>
      <c r="J45" s="12">
        <f>-IF(J$42&gt;$C$10,0,IF($A45&gt;J$42,$C$22*(J$42-($A45/2))*$A45,$C$22*(J$42^2)/2))</f>
        <v>0</v>
      </c>
      <c r="K45" s="12">
        <f>-IF(K$42&gt;$C$10,0,IF($A45&gt;K$42,$C$22*(K$42-($A45/2))*$A45,$C$22*(K$42^2)/2))</f>
        <v>0</v>
      </c>
      <c r="L45" s="12">
        <f>-IF(L$42&gt;$C$10,0,IF($A45&gt;L$42,$C$22*(L$42-($A45/2))*$A45,$C$22*(L$42^2)/2))</f>
        <v>0</v>
      </c>
    </row>
    <row r="46" spans="1:12" x14ac:dyDescent="0.25">
      <c r="A46" s="2">
        <f t="shared" ref="A46:A55" si="7">-A31</f>
        <v>-0.5</v>
      </c>
      <c r="B46" s="8">
        <f>IF(B$42&gt;$C$10,0,IF($A46&gt;B$42,$C$22*(B$42-($A46/2))*$A46,$C$22*(B$42^2)/2))</f>
        <v>0</v>
      </c>
      <c r="C46" s="8">
        <f>-IF(C$42&gt;$C$10,0,IF($A46&gt;C$42,$C$22*(C$42-($A46/2))*$A46,$C$22*(C$42^2)/2))</f>
        <v>0</v>
      </c>
      <c r="D46" s="8">
        <f>-IF(D$42&gt;$C$10,0,IF($A46&gt;D$42,$C$22*(D$42-($A46/2))*$A46,$C$22*(D$42^2)/2))</f>
        <v>0</v>
      </c>
      <c r="E46" s="8">
        <f>-IF(E$42&gt;$C$10,0,IF($A46&gt;E$42,$C$22*(E$42-($A46/2))*$A46,$C$22*(E$42^2)/2))</f>
        <v>-33.220687500000004</v>
      </c>
      <c r="F46" s="8">
        <f>-IF(F$42&gt;$C$10,0,IF($A46&gt;F$42,$C$22*(F$42-($A46/2))*$A46,$C$22*(F$42^2)/2))</f>
        <v>-63.421312500000006</v>
      </c>
      <c r="G46" s="8">
        <f>-IF(G$42&gt;$C$10,0,IF($A46&gt;G$42,$C$22*(G$42-($A46/2))*$A46,$C$22*(G$42^2)/2))</f>
        <v>-93.621937500000016</v>
      </c>
      <c r="H46" s="8">
        <f>-IF(H$42&gt;$C$10,0,IF($A46&gt;H$42,$C$22*(H$42-($A46/2))*$A46,$C$22*(H$42^2)/2))</f>
        <v>-123.8225625</v>
      </c>
      <c r="I46" s="8">
        <f>-IF(I$42&gt;$C$10,0,IF($A46&gt;I$42,$C$22*(I$42-($A46/2))*$A46,$C$22*(I$42^2)/2))</f>
        <v>-154.02318750000001</v>
      </c>
      <c r="J46" s="8">
        <f>-IF(J$42&gt;$C$10,0,IF($A46&gt;J$42,$C$22*(J$42-($A46/2))*$A46,$C$22*(J$42^2)/2))</f>
        <v>-184.22381250000001</v>
      </c>
      <c r="K46" s="8">
        <f>-IF(K$42&gt;$C$10,0,IF($A46&gt;K$42,$C$22*(K$42-($A46/2))*$A46,$C$22*(K$42^2)/2))</f>
        <v>-214.42443750000001</v>
      </c>
      <c r="L46" s="8">
        <f>-IF(L$42&gt;$C$10,0,IF($A46&gt;L$42,$C$22*(L$42-($A46/2))*$A46,$C$22*(L$42^2)/2))</f>
        <v>-244.62506250000001</v>
      </c>
    </row>
    <row r="47" spans="1:12" x14ac:dyDescent="0.25">
      <c r="A47" s="2">
        <f t="shared" si="7"/>
        <v>-1</v>
      </c>
      <c r="B47" s="8">
        <f>IF(B$42&gt;$C$10,0,IF($A47&gt;B$42,$C$22*(B$42-($A47/2))*$A47,$C$22*(B$42^2)/2))</f>
        <v>0</v>
      </c>
      <c r="C47" s="8">
        <f>-IF(C$42&gt;$C$10,0,IF($A47&gt;C$42,$C$22*(C$42-($A47/2))*$A47,$C$22*(C$42^2)/2))</f>
        <v>0</v>
      </c>
      <c r="D47" s="8">
        <f>-IF(D$42&gt;$C$10,0,IF($A47&gt;D$42,$C$22*(D$42-($A47/2))*$A47,$C$22*(D$42^2)/2))</f>
        <v>0</v>
      </c>
      <c r="E47" s="8">
        <f>-IF(E$42&gt;$C$10,0,IF($A47&gt;E$42,$C$22*(E$42-($A47/2))*$A47,$C$22*(E$42^2)/2))</f>
        <v>-38.656800000000011</v>
      </c>
      <c r="F47" s="8">
        <f>-IF(F$42&gt;$C$10,0,IF($A47&gt;F$42,$C$22*(F$42-($A47/2))*$A47,$C$22*(F$42^2)/2))</f>
        <v>-96.64200000000001</v>
      </c>
      <c r="G47" s="8">
        <f>-IF(G$42&gt;$C$10,0,IF($A47&gt;G$42,$C$22*(G$42-($A47/2))*$A47,$C$22*(G$42^2)/2))</f>
        <v>-157.04325000000003</v>
      </c>
      <c r="H47" s="8">
        <f>-IF(H$42&gt;$C$10,0,IF($A47&gt;H$42,$C$22*(H$42-($A47/2))*$A47,$C$22*(H$42^2)/2))</f>
        <v>-217.44450000000001</v>
      </c>
      <c r="I47" s="8">
        <f>-IF(I$42&gt;$C$10,0,IF($A47&gt;I$42,$C$22*(I$42-($A47/2))*$A47,$C$22*(I$42^2)/2))</f>
        <v>-277.84575000000001</v>
      </c>
      <c r="J47" s="8">
        <f>-IF(J$42&gt;$C$10,0,IF($A47&gt;J$42,$C$22*(J$42-($A47/2))*$A47,$C$22*(J$42^2)/2))</f>
        <v>-338.24700000000001</v>
      </c>
      <c r="K47" s="8">
        <f>-IF(K$42&gt;$C$10,0,IF($A47&gt;K$42,$C$22*(K$42-($A47/2))*$A47,$C$22*(K$42^2)/2))</f>
        <v>-398.64825000000002</v>
      </c>
      <c r="L47" s="8">
        <f>-IF(L$42&gt;$C$10,0,IF($A47&gt;L$42,$C$22*(L$42-($A47/2))*$A47,$C$22*(L$42^2)/2))</f>
        <v>-459.04950000000002</v>
      </c>
    </row>
    <row r="48" spans="1:12" x14ac:dyDescent="0.25">
      <c r="A48" s="2">
        <f t="shared" si="7"/>
        <v>-1.5</v>
      </c>
      <c r="B48" s="8">
        <f>IF(B$42&gt;$C$10,0,IF($A48&gt;B$42,$C$22*(B$42-($A48/2))*$A48,$C$22*(B$42^2)/2))</f>
        <v>0</v>
      </c>
      <c r="C48" s="8">
        <f>-IF(C$42&gt;$C$10,0,IF($A48&gt;C$42,$C$22*(C$42-($A48/2))*$A48,$C$22*(C$42^2)/2))</f>
        <v>0</v>
      </c>
      <c r="D48" s="8">
        <f>-IF(D$42&gt;$C$10,0,IF($A48&gt;D$42,$C$22*(D$42-($A48/2))*$A48,$C$22*(D$42^2)/2))</f>
        <v>0</v>
      </c>
      <c r="E48" s="8">
        <f>-IF(E$42&gt;$C$10,0,IF($A48&gt;E$42,$C$22*(E$42-($A48/2))*$A48,$C$22*(E$42^2)/2))</f>
        <v>-38.656800000000011</v>
      </c>
      <c r="F48" s="8">
        <f>-IF(F$42&gt;$C$10,0,IF($A48&gt;F$42,$C$22*(F$42-($A48/2))*$A48,$C$22*(F$42^2)/2))</f>
        <v>-102.07811250000002</v>
      </c>
      <c r="G48" s="8">
        <f>-IF(G$42&gt;$C$10,0,IF($A48&gt;G$42,$C$22*(G$42-($A48/2))*$A48,$C$22*(G$42^2)/2))</f>
        <v>-190.26393750000003</v>
      </c>
      <c r="H48" s="8">
        <f>-IF(H$42&gt;$C$10,0,IF($A48&gt;H$42,$C$22*(H$42-($A48/2))*$A48,$C$22*(H$42^2)/2))</f>
        <v>-280.8658125</v>
      </c>
      <c r="I48" s="8">
        <f>-IF(I$42&gt;$C$10,0,IF($A48&gt;I$42,$C$22*(I$42-($A48/2))*$A48,$C$22*(I$42^2)/2))</f>
        <v>-371.46768750000001</v>
      </c>
      <c r="J48" s="8">
        <f>-IF(J$42&gt;$C$10,0,IF($A48&gt;J$42,$C$22*(J$42-($A48/2))*$A48,$C$22*(J$42^2)/2))</f>
        <v>-462.06956250000002</v>
      </c>
      <c r="K48" s="8">
        <f>-IF(K$42&gt;$C$10,0,IF($A48&gt;K$42,$C$22*(K$42-($A48/2))*$A48,$C$22*(K$42^2)/2))</f>
        <v>-552.67143750000002</v>
      </c>
      <c r="L48" s="8">
        <f>-IF(L$42&gt;$C$10,0,IF($A48&gt;L$42,$C$22*(L$42-($A48/2))*$A48,$C$22*(L$42^2)/2))</f>
        <v>-643.27331249999997</v>
      </c>
    </row>
    <row r="49" spans="1:15" x14ac:dyDescent="0.25">
      <c r="A49" s="2">
        <f t="shared" si="7"/>
        <v>-2</v>
      </c>
      <c r="B49" s="8">
        <f>IF(B$42&gt;$C$10,0,IF($A49&gt;B$42,$C$22*(B$42-($A49/2))*$A49,$C$22*(B$42^2)/2))</f>
        <v>0</v>
      </c>
      <c r="C49" s="8">
        <f>-IF(C$42&gt;$C$10,0,IF($A49&gt;C$42,$C$22*(C$42-($A49/2))*$A49,$C$22*(C$42^2)/2))</f>
        <v>0</v>
      </c>
      <c r="D49" s="8">
        <f>-IF(D$42&gt;$C$10,0,IF($A49&gt;D$42,$C$22*(D$42-($A49/2))*$A49,$C$22*(D$42^2)/2))</f>
        <v>0</v>
      </c>
      <c r="E49" s="8">
        <f>-IF(E$42&gt;$C$10,0,IF($A49&gt;E$42,$C$22*(E$42-($A49/2))*$A49,$C$22*(E$42^2)/2))</f>
        <v>-38.656800000000011</v>
      </c>
      <c r="F49" s="8">
        <f>-IF(F$42&gt;$C$10,0,IF($A49&gt;F$42,$C$22*(F$42-($A49/2))*$A49,$C$22*(F$42^2)/2))</f>
        <v>-102.07811250000002</v>
      </c>
      <c r="G49" s="8">
        <f>-IF(G$42&gt;$C$10,0,IF($A49&gt;G$42,$C$22*(G$42-($A49/2))*$A49,$C$22*(G$42^2)/2))</f>
        <v>-195.70005000000003</v>
      </c>
      <c r="H49" s="8">
        <f>-IF(H$42&gt;$C$10,0,IF($A49&gt;H$42,$C$22*(H$42-($A49/2))*$A49,$C$22*(H$42^2)/2))</f>
        <v>-314.0865</v>
      </c>
      <c r="I49" s="8">
        <f>-IF(I$42&gt;$C$10,0,IF($A49&gt;I$42,$C$22*(I$42-($A49/2))*$A49,$C$22*(I$42^2)/2))</f>
        <v>-434.88900000000001</v>
      </c>
      <c r="J49" s="8">
        <f>-IF(J$42&gt;$C$10,0,IF($A49&gt;J$42,$C$22*(J$42-($A49/2))*$A49,$C$22*(J$42^2)/2))</f>
        <v>-555.69150000000002</v>
      </c>
      <c r="K49" s="8">
        <f>-IF(K$42&gt;$C$10,0,IF($A49&gt;K$42,$C$22*(K$42-($A49/2))*$A49,$C$22*(K$42^2)/2))</f>
        <v>-676.49400000000003</v>
      </c>
      <c r="L49" s="8">
        <f>-IF(L$42&gt;$C$10,0,IF($A49&gt;L$42,$C$22*(L$42-($A49/2))*$A49,$C$22*(L$42^2)/2))</f>
        <v>-797.29650000000004</v>
      </c>
    </row>
    <row r="50" spans="1:15" x14ac:dyDescent="0.25">
      <c r="A50" s="2">
        <f t="shared" si="7"/>
        <v>-2.5</v>
      </c>
      <c r="B50" s="8">
        <f>IF(B$42&gt;$C$10,0,IF($A50&gt;B$42,$C$22*(B$42-($A50/2))*$A50,$C$22*(B$42^2)/2))</f>
        <v>0</v>
      </c>
      <c r="C50" s="8">
        <f>-IF(C$42&gt;$C$10,0,IF($A50&gt;C$42,$C$22*(C$42-($A50/2))*$A50,$C$22*(C$42^2)/2))</f>
        <v>0</v>
      </c>
      <c r="D50" s="8">
        <f>-IF(D$42&gt;$C$10,0,IF($A50&gt;D$42,$C$22*(D$42-($A50/2))*$A50,$C$22*(D$42^2)/2))</f>
        <v>0</v>
      </c>
      <c r="E50" s="8">
        <f>-IF(E$42&gt;$C$10,0,IF($A50&gt;E$42,$C$22*(E$42-($A50/2))*$A50,$C$22*(E$42^2)/2))</f>
        <v>-38.656800000000011</v>
      </c>
      <c r="F50" s="8">
        <f>-IF(F$42&gt;$C$10,0,IF($A50&gt;F$42,$C$22*(F$42-($A50/2))*$A50,$C$22*(F$42^2)/2))</f>
        <v>-102.07811250000002</v>
      </c>
      <c r="G50" s="8">
        <f>-IF(G$42&gt;$C$10,0,IF($A50&gt;G$42,$C$22*(G$42-($A50/2))*$A50,$C$22*(G$42^2)/2))</f>
        <v>-195.70005000000003</v>
      </c>
      <c r="H50" s="8">
        <f>-IF(H$42&gt;$C$10,0,IF($A50&gt;H$42,$C$22*(H$42-($A50/2))*$A50,$C$22*(H$42^2)/2))</f>
        <v>-319.52261249999998</v>
      </c>
      <c r="I50" s="8">
        <f>-IF(I$42&gt;$C$10,0,IF($A50&gt;I$42,$C$22*(I$42-($A50/2))*$A50,$C$22*(I$42^2)/2))</f>
        <v>-468.10968750000001</v>
      </c>
      <c r="J50" s="8">
        <f>-IF(J$42&gt;$C$10,0,IF($A50&gt;J$42,$C$22*(J$42-($A50/2))*$A50,$C$22*(J$42^2)/2))</f>
        <v>-619.11281250000002</v>
      </c>
      <c r="K50" s="8">
        <f>-IF(K$42&gt;$C$10,0,IF($A50&gt;K$42,$C$22*(K$42-($A50/2))*$A50,$C$22*(K$42^2)/2))</f>
        <v>-770.11593749999997</v>
      </c>
      <c r="L50" s="8">
        <f>-IF(L$42&gt;$C$10,0,IF($A50&gt;L$42,$C$22*(L$42-($A50/2))*$A50,$C$22*(L$42^2)/2))</f>
        <v>-921.11906250000004</v>
      </c>
    </row>
    <row r="51" spans="1:15" x14ac:dyDescent="0.25">
      <c r="A51" s="2">
        <f t="shared" si="7"/>
        <v>-3</v>
      </c>
      <c r="B51" s="8">
        <f>IF(B$42&gt;$C$10,0,IF($A51&gt;B$42,$C$22*(B$42-($A51/2))*$A51,$C$22*(B$42^2)/2))</f>
        <v>0</v>
      </c>
      <c r="C51" s="8">
        <f>-IF(C$42&gt;$C$10,0,IF($A51&gt;C$42,$C$22*(C$42-($A51/2))*$A51,$C$22*(C$42^2)/2))</f>
        <v>0</v>
      </c>
      <c r="D51" s="8">
        <f>-IF(D$42&gt;$C$10,0,IF($A51&gt;D$42,$C$22*(D$42-($A51/2))*$A51,$C$22*(D$42^2)/2))</f>
        <v>0</v>
      </c>
      <c r="E51" s="8">
        <f>-IF(E$42&gt;$C$10,0,IF($A51&gt;E$42,$C$22*(E$42-($A51/2))*$A51,$C$22*(E$42^2)/2))</f>
        <v>-38.656800000000011</v>
      </c>
      <c r="F51" s="8">
        <f>-IF(F$42&gt;$C$10,0,IF($A51&gt;F$42,$C$22*(F$42-($A51/2))*$A51,$C$22*(F$42^2)/2))</f>
        <v>-102.07811250000002</v>
      </c>
      <c r="G51" s="8">
        <f>-IF(G$42&gt;$C$10,0,IF($A51&gt;G$42,$C$22*(G$42-($A51/2))*$A51,$C$22*(G$42^2)/2))</f>
        <v>-195.70005000000003</v>
      </c>
      <c r="H51" s="8">
        <f>-IF(H$42&gt;$C$10,0,IF($A51&gt;H$42,$C$22*(H$42-($A51/2))*$A51,$C$22*(H$42^2)/2))</f>
        <v>-319.52261249999998</v>
      </c>
      <c r="I51" s="8">
        <f>-IF(I$42&gt;$C$10,0,IF($A51&gt;I$42,$C$22*(I$42-($A51/2))*$A51,$C$22*(I$42^2)/2))</f>
        <v>-473.54579999999999</v>
      </c>
      <c r="J51" s="8">
        <f>-IF(J$42&gt;$C$10,0,IF($A51&gt;J$42,$C$22*(J$42-($A51/2))*$A51,$C$22*(J$42^2)/2))</f>
        <v>-652.33349999999996</v>
      </c>
      <c r="K51" s="8">
        <f>-IF(K$42&gt;$C$10,0,IF($A51&gt;K$42,$C$22*(K$42-($A51/2))*$A51,$C$22*(K$42^2)/2))</f>
        <v>-833.53725000000009</v>
      </c>
      <c r="L51" s="8">
        <f>-IF(L$42&gt;$C$10,0,IF($A51&gt;L$42,$C$22*(L$42-($A51/2))*$A51,$C$22*(L$42^2)/2))</f>
        <v>-1014.741</v>
      </c>
    </row>
    <row r="52" spans="1:15" x14ac:dyDescent="0.25">
      <c r="A52" s="2">
        <f t="shared" si="7"/>
        <v>-3.5</v>
      </c>
      <c r="B52" s="8">
        <f>IF(B$42&gt;$C$10,0,IF($A52&gt;B$42,$C$22*(B$42-($A52/2))*$A52,$C$22*(B$42^2)/2))</f>
        <v>0</v>
      </c>
      <c r="C52" s="8">
        <f>-IF(C$42&gt;$C$10,0,IF($A52&gt;C$42,$C$22*(C$42-($A52/2))*$A52,$C$22*(C$42^2)/2))</f>
        <v>0</v>
      </c>
      <c r="D52" s="8">
        <f>-IF(D$42&gt;$C$10,0,IF($A52&gt;D$42,$C$22*(D$42-($A52/2))*$A52,$C$22*(D$42^2)/2))</f>
        <v>0</v>
      </c>
      <c r="E52" s="8">
        <f>-IF(E$42&gt;$C$10,0,IF($A52&gt;E$42,$C$22*(E$42-($A52/2))*$A52,$C$22*(E$42^2)/2))</f>
        <v>-38.656800000000011</v>
      </c>
      <c r="F52" s="8">
        <f>-IF(F$42&gt;$C$10,0,IF($A52&gt;F$42,$C$22*(F$42-($A52/2))*$A52,$C$22*(F$42^2)/2))</f>
        <v>-102.07811250000002</v>
      </c>
      <c r="G52" s="8">
        <f>-IF(G$42&gt;$C$10,0,IF($A52&gt;G$42,$C$22*(G$42-($A52/2))*$A52,$C$22*(G$42^2)/2))</f>
        <v>-195.70005000000003</v>
      </c>
      <c r="H52" s="8">
        <f>-IF(H$42&gt;$C$10,0,IF($A52&gt;H$42,$C$22*(H$42-($A52/2))*$A52,$C$22*(H$42^2)/2))</f>
        <v>-319.52261249999998</v>
      </c>
      <c r="I52" s="8">
        <f>-IF(I$42&gt;$C$10,0,IF($A52&gt;I$42,$C$22*(I$42-($A52/2))*$A52,$C$22*(I$42^2)/2))</f>
        <v>-473.54579999999999</v>
      </c>
      <c r="J52" s="8">
        <f>-IF(J$42&gt;$C$10,0,IF($A52&gt;J$42,$C$22*(J$42-($A52/2))*$A52,$C$22*(J$42^2)/2))</f>
        <v>-657.76961249999999</v>
      </c>
      <c r="K52" s="8">
        <f>-IF(K$42&gt;$C$10,0,IF($A52&gt;K$42,$C$22*(K$42-($A52/2))*$A52,$C$22*(K$42^2)/2))</f>
        <v>-866.75793750000003</v>
      </c>
      <c r="L52" s="8">
        <f>-IF(L$42&gt;$C$10,0,IF($A52&gt;L$42,$C$22*(L$42-($A52/2))*$A52,$C$22*(L$42^2)/2))</f>
        <v>-1078.1623125000001</v>
      </c>
      <c r="N52" s="13"/>
      <c r="O52" s="13"/>
    </row>
    <row r="53" spans="1:15" x14ac:dyDescent="0.25">
      <c r="A53" s="9">
        <f t="shared" si="7"/>
        <v>-4</v>
      </c>
      <c r="B53" s="8">
        <f>IF(B$42&gt;$C$10,0,IF($A53&gt;B$42,$C$22*(B$42-($A53/2))*$A53,$C$22*(B$42^2)/2))</f>
        <v>0</v>
      </c>
      <c r="C53" s="8">
        <f>-IF(C$42&gt;$C$10,0,IF($A53&gt;C$42,$C$22*(C$42-($A53/2))*$A53,$C$22*(C$42^2)/2))</f>
        <v>0</v>
      </c>
      <c r="D53" s="8">
        <f>-IF(D$42&gt;$C$10,0,IF($A53&gt;D$42,$C$22*(D$42-($A53/2))*$A53,$C$22*(D$42^2)/2))</f>
        <v>0</v>
      </c>
      <c r="E53" s="8">
        <f>-IF(E$42&gt;$C$10,0,IF($A53&gt;E$42,$C$22*(E$42-($A53/2))*$A53,$C$22*(E$42^2)/2))</f>
        <v>-38.656800000000011</v>
      </c>
      <c r="F53" s="8">
        <f>-IF(F$42&gt;$C$10,0,IF($A53&gt;F$42,$C$22*(F$42-($A53/2))*$A53,$C$22*(F$42^2)/2))</f>
        <v>-102.07811250000002</v>
      </c>
      <c r="G53" s="8">
        <f>-IF(G$42&gt;$C$10,0,IF($A53&gt;G$42,$C$22*(G$42-($A53/2))*$A53,$C$22*(G$42^2)/2))</f>
        <v>-195.70005000000003</v>
      </c>
      <c r="H53" s="8">
        <f>-IF(H$42&gt;$C$10,0,IF($A53&gt;H$42,$C$22*(H$42-($A53/2))*$A53,$C$22*(H$42^2)/2))</f>
        <v>-319.52261249999998</v>
      </c>
      <c r="I53" s="8">
        <f>-IF(I$42&gt;$C$10,0,IF($A53&gt;I$42,$C$22*(I$42-($A53/2))*$A53,$C$22*(I$42^2)/2))</f>
        <v>-473.54579999999999</v>
      </c>
      <c r="J53" s="8">
        <f>-IF(J$42&gt;$C$10,0,IF($A53&gt;J$42,$C$22*(J$42-($A53/2))*$A53,$C$22*(J$42^2)/2))</f>
        <v>-657.76961249999999</v>
      </c>
      <c r="K53" s="8">
        <f>-IF(K$42&gt;$C$10,0,IF($A53&gt;K$42,$C$22*(K$42-($A53/2))*$A53,$C$22*(K$42^2)/2))</f>
        <v>-872.19405000000006</v>
      </c>
      <c r="L53" s="8">
        <f>-IF(L$42&gt;$C$10,0,IF($A53&gt;L$42,$C$22*(L$42-($A53/2))*$A53,$C$22*(L$42^2)/2))</f>
        <v>-1111.383</v>
      </c>
    </row>
    <row r="54" spans="1:15" x14ac:dyDescent="0.25">
      <c r="A54" s="9">
        <f t="shared" si="7"/>
        <v>-4.5</v>
      </c>
      <c r="B54" s="8">
        <f>IF(B$42&gt;$C$10,0,IF($A54&gt;B$42,$C$22*(B$42-($A54/2))*$A54,$C$22*(B$42^2)/2))</f>
        <v>0</v>
      </c>
      <c r="C54" s="8">
        <f>-IF(C$42&gt;$C$10,0,IF($A54&gt;C$42,$C$22*(C$42-($A54/2))*$A54,$C$22*(C$42^2)/2))</f>
        <v>0</v>
      </c>
      <c r="D54" s="8">
        <f>-IF(D$42&gt;$C$10,0,IF($A54&gt;D$42,$C$22*(D$42-($A54/2))*$A54,$C$22*(D$42^2)/2))</f>
        <v>0</v>
      </c>
      <c r="E54" s="8">
        <f>-IF(E$42&gt;$C$10,0,IF($A54&gt;E$42,$C$22*(E$42-($A54/2))*$A54,$C$22*(E$42^2)/2))</f>
        <v>-38.656800000000011</v>
      </c>
      <c r="F54" s="8">
        <f>-IF(F$42&gt;$C$10,0,IF($A54&gt;F$42,$C$22*(F$42-($A54/2))*$A54,$C$22*(F$42^2)/2))</f>
        <v>-102.07811250000002</v>
      </c>
      <c r="G54" s="8">
        <f>-IF(G$42&gt;$C$10,0,IF($A54&gt;G$42,$C$22*(G$42-($A54/2))*$A54,$C$22*(G$42^2)/2))</f>
        <v>-195.70005000000003</v>
      </c>
      <c r="H54" s="8">
        <f>-IF(H$42&gt;$C$10,0,IF($A54&gt;H$42,$C$22*(H$42-($A54/2))*$A54,$C$22*(H$42^2)/2))</f>
        <v>-319.52261249999998</v>
      </c>
      <c r="I54" s="8">
        <f>-IF(I$42&gt;$C$10,0,IF($A54&gt;I$42,$C$22*(I$42-($A54/2))*$A54,$C$22*(I$42^2)/2))</f>
        <v>-473.54579999999999</v>
      </c>
      <c r="J54" s="8">
        <f>-IF(J$42&gt;$C$10,0,IF($A54&gt;J$42,$C$22*(J$42-($A54/2))*$A54,$C$22*(J$42^2)/2))</f>
        <v>-657.76961249999999</v>
      </c>
      <c r="K54" s="8">
        <f>-IF(K$42&gt;$C$10,0,IF($A54&gt;K$42,$C$22*(K$42-($A54/2))*$A54,$C$22*(K$42^2)/2))</f>
        <v>-872.19405000000006</v>
      </c>
      <c r="L54" s="8">
        <f>-IF(L$42&gt;$C$10,0,IF($A54&gt;L$42,$C$22*(L$42-($A54/2))*$A54,$C$22*(L$42^2)/2))</f>
        <v>-1116.8191125000001</v>
      </c>
      <c r="N54" s="13"/>
      <c r="O54" s="13"/>
    </row>
    <row r="55" spans="1:15" x14ac:dyDescent="0.25">
      <c r="A55" s="9">
        <f t="shared" si="7"/>
        <v>-5</v>
      </c>
      <c r="B55" s="8">
        <f>IF(B$42&gt;$C$10,0,IF($A55&gt;B$42,$C$22*(B$42-($A55/2))*$A55,$C$22*(B$42^2)/2))</f>
        <v>0</v>
      </c>
      <c r="C55" s="8">
        <f>-IF(C$42&gt;$C$10,0,IF($A55&gt;C$42,$C$22*(C$42-($A55/2))*$A55,$C$22*(C$42^2)/2))</f>
        <v>0</v>
      </c>
      <c r="D55" s="8">
        <f>-IF(D$42&gt;$C$10,0,IF($A55&gt;D$42,$C$22*(D$42-($A55/2))*$A55,$C$22*(D$42^2)/2))</f>
        <v>0</v>
      </c>
      <c r="E55" s="8">
        <f>-IF(E$42&gt;$C$10,0,IF($A55&gt;E$42,$C$22*(E$42-($A55/2))*$A55,$C$22*(E$42^2)/2))</f>
        <v>-38.656800000000011</v>
      </c>
      <c r="F55" s="8">
        <f>-IF(F$42&gt;$C$10,0,IF($A55&gt;F$42,$C$22*(F$42-($A55/2))*$A55,$C$22*(F$42^2)/2))</f>
        <v>-102.07811250000002</v>
      </c>
      <c r="G55" s="8">
        <f>-IF(G$42&gt;$C$10,0,IF($A55&gt;G$42,$C$22*(G$42-($A55/2))*$A55,$C$22*(G$42^2)/2))</f>
        <v>-195.70005000000003</v>
      </c>
      <c r="H55" s="8">
        <f>-IF(H$42&gt;$C$10,0,IF($A55&gt;H$42,$C$22*(H$42-($A55/2))*$A55,$C$22*(H$42^2)/2))</f>
        <v>-319.52261249999998</v>
      </c>
      <c r="I55" s="8">
        <f>-IF(I$42&gt;$C$10,0,IF($A55&gt;I$42,$C$22*(I$42-($A55/2))*$A55,$C$22*(I$42^2)/2))</f>
        <v>-473.54579999999999</v>
      </c>
      <c r="J55" s="8">
        <f>-IF(J$42&gt;$C$10,0,IF($A55&gt;J$42,$C$22*(J$42-($A55/2))*$A55,$C$22*(J$42^2)/2))</f>
        <v>-657.76961249999999</v>
      </c>
      <c r="K55" s="8">
        <f>-IF(K$42&gt;$C$10,0,IF($A55&gt;K$42,$C$22*(K$42-($A55/2))*$A55,$C$22*(K$42^2)/2))</f>
        <v>-872.19405000000006</v>
      </c>
      <c r="L55" s="8">
        <f>-IF(L$42&gt;$C$10,0,IF($A55&gt;L$42,$C$22*(L$42-($A55/2))*$A55,$C$22*(L$42^2)/2))</f>
        <v>-1116.8191125000001</v>
      </c>
      <c r="N55" s="13"/>
      <c r="O55" s="13"/>
    </row>
    <row r="57" spans="1:15" x14ac:dyDescent="0.25">
      <c r="B57" s="9">
        <v>11</v>
      </c>
      <c r="C57" s="9">
        <f>B57-1</f>
        <v>10</v>
      </c>
      <c r="D57" s="9">
        <f t="shared" ref="D57:L57" si="8">C57-1</f>
        <v>9</v>
      </c>
      <c r="E57" s="9">
        <f t="shared" si="8"/>
        <v>8</v>
      </c>
      <c r="F57" s="9">
        <f t="shared" si="8"/>
        <v>7</v>
      </c>
      <c r="G57" s="9">
        <f t="shared" si="8"/>
        <v>6</v>
      </c>
      <c r="H57" s="9">
        <f t="shared" si="8"/>
        <v>5</v>
      </c>
      <c r="I57" s="9">
        <f t="shared" si="8"/>
        <v>4</v>
      </c>
      <c r="J57" s="9">
        <f t="shared" si="8"/>
        <v>3</v>
      </c>
      <c r="K57" s="9">
        <f t="shared" si="8"/>
        <v>2</v>
      </c>
      <c r="L57" s="9">
        <f t="shared" si="8"/>
        <v>1</v>
      </c>
    </row>
    <row r="58" spans="1:15" x14ac:dyDescent="0.25">
      <c r="A58" s="1" t="s">
        <v>26</v>
      </c>
      <c r="B58" s="19" t="s">
        <v>47</v>
      </c>
      <c r="C58" s="20"/>
      <c r="D58" s="20"/>
      <c r="E58" s="20"/>
      <c r="F58" s="20"/>
      <c r="G58" s="20"/>
      <c r="H58" s="20"/>
      <c r="I58" s="21"/>
      <c r="J58" s="21"/>
      <c r="K58" s="21"/>
      <c r="L58" s="22"/>
    </row>
    <row r="59" spans="1:15" x14ac:dyDescent="0.25">
      <c r="A59" s="9" t="s">
        <v>27</v>
      </c>
      <c r="B59" s="2">
        <f>B29</f>
        <v>0</v>
      </c>
      <c r="C59" s="9">
        <f t="shared" ref="C59:L59" si="9">C29</f>
        <v>0.5</v>
      </c>
      <c r="D59" s="9">
        <f t="shared" si="9"/>
        <v>1</v>
      </c>
      <c r="E59" s="9">
        <f t="shared" si="9"/>
        <v>1.5</v>
      </c>
      <c r="F59" s="9">
        <f t="shared" si="9"/>
        <v>2</v>
      </c>
      <c r="G59" s="9">
        <f t="shared" si="9"/>
        <v>2.5</v>
      </c>
      <c r="H59" s="9">
        <f t="shared" si="9"/>
        <v>3</v>
      </c>
      <c r="I59" s="9">
        <f t="shared" si="9"/>
        <v>3.5</v>
      </c>
      <c r="J59" s="9">
        <f t="shared" si="9"/>
        <v>4</v>
      </c>
      <c r="K59" s="9">
        <f t="shared" si="9"/>
        <v>4.5</v>
      </c>
      <c r="L59" s="9">
        <f t="shared" si="9"/>
        <v>5</v>
      </c>
    </row>
    <row r="60" spans="1:15" x14ac:dyDescent="0.25">
      <c r="A60" s="9">
        <f t="shared" ref="A60:A70" si="10">A30</f>
        <v>0</v>
      </c>
      <c r="B60" s="2">
        <f>-INDEX($B$45:$L$55,$M60,B$57)</f>
        <v>1116.8191125000001</v>
      </c>
      <c r="C60" s="9">
        <f t="shared" ref="C60:L70" si="11">-INDEX($B$45:$L$55,$M60,C$57)</f>
        <v>872.19405000000006</v>
      </c>
      <c r="D60" s="9">
        <f t="shared" si="11"/>
        <v>657.76961249999999</v>
      </c>
      <c r="E60" s="9">
        <f t="shared" si="11"/>
        <v>473.54579999999999</v>
      </c>
      <c r="F60" s="9">
        <f t="shared" si="11"/>
        <v>319.52261249999998</v>
      </c>
      <c r="G60" s="9">
        <f t="shared" si="11"/>
        <v>195.70005000000003</v>
      </c>
      <c r="H60" s="9">
        <f t="shared" si="11"/>
        <v>102.07811250000002</v>
      </c>
      <c r="I60" s="9">
        <f t="shared" si="11"/>
        <v>38.656800000000011</v>
      </c>
      <c r="J60" s="9">
        <f t="shared" si="11"/>
        <v>0</v>
      </c>
      <c r="K60" s="9">
        <f t="shared" si="11"/>
        <v>0</v>
      </c>
      <c r="L60" s="9">
        <f t="shared" si="11"/>
        <v>0</v>
      </c>
      <c r="M60" s="9">
        <v>11</v>
      </c>
    </row>
    <row r="61" spans="1:15" x14ac:dyDescent="0.25">
      <c r="A61" s="9">
        <f t="shared" si="10"/>
        <v>0.5</v>
      </c>
      <c r="B61" s="9">
        <f t="shared" ref="B61:B70" si="12">-INDEX($B$45:$L$55,$M61,B$57)</f>
        <v>1116.8191125000001</v>
      </c>
      <c r="C61" s="9">
        <f t="shared" si="11"/>
        <v>872.19405000000006</v>
      </c>
      <c r="D61" s="9">
        <f t="shared" si="11"/>
        <v>657.76961249999999</v>
      </c>
      <c r="E61" s="9">
        <f t="shared" si="11"/>
        <v>473.54579999999999</v>
      </c>
      <c r="F61" s="9">
        <f t="shared" si="11"/>
        <v>319.52261249999998</v>
      </c>
      <c r="G61" s="9">
        <f t="shared" si="11"/>
        <v>195.70005000000003</v>
      </c>
      <c r="H61" s="9">
        <f t="shared" si="11"/>
        <v>102.07811250000002</v>
      </c>
      <c r="I61" s="9">
        <f t="shared" si="11"/>
        <v>38.656800000000011</v>
      </c>
      <c r="J61" s="9">
        <f t="shared" si="11"/>
        <v>0</v>
      </c>
      <c r="K61" s="9">
        <f t="shared" si="11"/>
        <v>0</v>
      </c>
      <c r="L61" s="9">
        <f t="shared" si="11"/>
        <v>0</v>
      </c>
      <c r="M61" s="9">
        <f>M60-1</f>
        <v>10</v>
      </c>
    </row>
    <row r="62" spans="1:15" x14ac:dyDescent="0.25">
      <c r="A62" s="9">
        <f t="shared" si="10"/>
        <v>1</v>
      </c>
      <c r="B62" s="9">
        <f t="shared" si="12"/>
        <v>1111.383</v>
      </c>
      <c r="C62" s="9">
        <f t="shared" si="11"/>
        <v>872.19405000000006</v>
      </c>
      <c r="D62" s="9">
        <f t="shared" si="11"/>
        <v>657.76961249999999</v>
      </c>
      <c r="E62" s="9">
        <f t="shared" si="11"/>
        <v>473.54579999999999</v>
      </c>
      <c r="F62" s="9">
        <f t="shared" si="11"/>
        <v>319.52261249999998</v>
      </c>
      <c r="G62" s="9">
        <f t="shared" si="11"/>
        <v>195.70005000000003</v>
      </c>
      <c r="H62" s="9">
        <f t="shared" si="11"/>
        <v>102.07811250000002</v>
      </c>
      <c r="I62" s="9">
        <f t="shared" si="11"/>
        <v>38.656800000000011</v>
      </c>
      <c r="J62" s="9">
        <f t="shared" si="11"/>
        <v>0</v>
      </c>
      <c r="K62" s="9">
        <f t="shared" si="11"/>
        <v>0</v>
      </c>
      <c r="L62" s="9">
        <f t="shared" si="11"/>
        <v>0</v>
      </c>
      <c r="M62" s="9">
        <f t="shared" ref="M62:M70" si="13">M61-1</f>
        <v>9</v>
      </c>
    </row>
    <row r="63" spans="1:15" x14ac:dyDescent="0.25">
      <c r="A63" s="9">
        <f t="shared" si="10"/>
        <v>1.5</v>
      </c>
      <c r="B63" s="9">
        <f t="shared" si="12"/>
        <v>1078.1623125000001</v>
      </c>
      <c r="C63" s="9">
        <f t="shared" si="11"/>
        <v>866.75793750000003</v>
      </c>
      <c r="D63" s="9">
        <f t="shared" si="11"/>
        <v>657.76961249999999</v>
      </c>
      <c r="E63" s="9">
        <f t="shared" si="11"/>
        <v>473.54579999999999</v>
      </c>
      <c r="F63" s="9">
        <f t="shared" si="11"/>
        <v>319.52261249999998</v>
      </c>
      <c r="G63" s="9">
        <f t="shared" si="11"/>
        <v>195.70005000000003</v>
      </c>
      <c r="H63" s="9">
        <f t="shared" si="11"/>
        <v>102.07811250000002</v>
      </c>
      <c r="I63" s="9">
        <f t="shared" si="11"/>
        <v>38.656800000000011</v>
      </c>
      <c r="J63" s="9">
        <f t="shared" si="11"/>
        <v>0</v>
      </c>
      <c r="K63" s="9">
        <f t="shared" si="11"/>
        <v>0</v>
      </c>
      <c r="L63" s="9">
        <f t="shared" si="11"/>
        <v>0</v>
      </c>
      <c r="M63" s="9">
        <f t="shared" si="13"/>
        <v>8</v>
      </c>
    </row>
    <row r="64" spans="1:15" x14ac:dyDescent="0.25">
      <c r="A64" s="9">
        <f t="shared" si="10"/>
        <v>2</v>
      </c>
      <c r="B64" s="9">
        <f t="shared" si="12"/>
        <v>1014.741</v>
      </c>
      <c r="C64" s="9">
        <f t="shared" si="11"/>
        <v>833.53725000000009</v>
      </c>
      <c r="D64" s="9">
        <f t="shared" si="11"/>
        <v>652.33349999999996</v>
      </c>
      <c r="E64" s="9">
        <f t="shared" si="11"/>
        <v>473.54579999999999</v>
      </c>
      <c r="F64" s="9">
        <f t="shared" si="11"/>
        <v>319.52261249999998</v>
      </c>
      <c r="G64" s="9">
        <f t="shared" si="11"/>
        <v>195.70005000000003</v>
      </c>
      <c r="H64" s="9">
        <f t="shared" si="11"/>
        <v>102.07811250000002</v>
      </c>
      <c r="I64" s="9">
        <f t="shared" si="11"/>
        <v>38.656800000000011</v>
      </c>
      <c r="J64" s="9">
        <f t="shared" si="11"/>
        <v>0</v>
      </c>
      <c r="K64" s="9">
        <f t="shared" si="11"/>
        <v>0</v>
      </c>
      <c r="L64" s="9">
        <f t="shared" si="11"/>
        <v>0</v>
      </c>
      <c r="M64" s="9">
        <f t="shared" si="13"/>
        <v>7</v>
      </c>
    </row>
    <row r="65" spans="1:13" x14ac:dyDescent="0.25">
      <c r="A65" s="9">
        <f t="shared" si="10"/>
        <v>2.5</v>
      </c>
      <c r="B65" s="9">
        <f t="shared" si="12"/>
        <v>921.11906250000004</v>
      </c>
      <c r="C65" s="9">
        <f t="shared" si="11"/>
        <v>770.11593749999997</v>
      </c>
      <c r="D65" s="9">
        <f t="shared" si="11"/>
        <v>619.11281250000002</v>
      </c>
      <c r="E65" s="9">
        <f t="shared" si="11"/>
        <v>468.10968750000001</v>
      </c>
      <c r="F65" s="9">
        <f t="shared" si="11"/>
        <v>319.52261249999998</v>
      </c>
      <c r="G65" s="9">
        <f t="shared" si="11"/>
        <v>195.70005000000003</v>
      </c>
      <c r="H65" s="9">
        <f t="shared" si="11"/>
        <v>102.07811250000002</v>
      </c>
      <c r="I65" s="9">
        <f t="shared" si="11"/>
        <v>38.656800000000011</v>
      </c>
      <c r="J65" s="9">
        <f t="shared" si="11"/>
        <v>0</v>
      </c>
      <c r="K65" s="9">
        <f t="shared" si="11"/>
        <v>0</v>
      </c>
      <c r="L65" s="9">
        <f t="shared" si="11"/>
        <v>0</v>
      </c>
      <c r="M65" s="9">
        <f t="shared" si="13"/>
        <v>6</v>
      </c>
    </row>
    <row r="66" spans="1:13" x14ac:dyDescent="0.25">
      <c r="A66" s="9">
        <f t="shared" si="10"/>
        <v>3</v>
      </c>
      <c r="B66" s="9">
        <f t="shared" si="12"/>
        <v>797.29650000000004</v>
      </c>
      <c r="C66" s="9">
        <f t="shared" si="11"/>
        <v>676.49400000000003</v>
      </c>
      <c r="D66" s="9">
        <f t="shared" si="11"/>
        <v>555.69150000000002</v>
      </c>
      <c r="E66" s="9">
        <f t="shared" si="11"/>
        <v>434.88900000000001</v>
      </c>
      <c r="F66" s="9">
        <f t="shared" si="11"/>
        <v>314.0865</v>
      </c>
      <c r="G66" s="9">
        <f t="shared" si="11"/>
        <v>195.70005000000003</v>
      </c>
      <c r="H66" s="9">
        <f t="shared" si="11"/>
        <v>102.07811250000002</v>
      </c>
      <c r="I66" s="9">
        <f t="shared" si="11"/>
        <v>38.656800000000011</v>
      </c>
      <c r="J66" s="9">
        <f t="shared" si="11"/>
        <v>0</v>
      </c>
      <c r="K66" s="9">
        <f t="shared" si="11"/>
        <v>0</v>
      </c>
      <c r="L66" s="9">
        <f t="shared" si="11"/>
        <v>0</v>
      </c>
      <c r="M66" s="9">
        <f t="shared" si="13"/>
        <v>5</v>
      </c>
    </row>
    <row r="67" spans="1:13" x14ac:dyDescent="0.25">
      <c r="A67" s="9">
        <f t="shared" si="10"/>
        <v>3.5</v>
      </c>
      <c r="B67" s="9">
        <f t="shared" si="12"/>
        <v>643.27331249999997</v>
      </c>
      <c r="C67" s="9">
        <f t="shared" si="11"/>
        <v>552.67143750000002</v>
      </c>
      <c r="D67" s="9">
        <f t="shared" si="11"/>
        <v>462.06956250000002</v>
      </c>
      <c r="E67" s="9">
        <f t="shared" si="11"/>
        <v>371.46768750000001</v>
      </c>
      <c r="F67" s="9">
        <f t="shared" si="11"/>
        <v>280.8658125</v>
      </c>
      <c r="G67" s="9">
        <f t="shared" si="11"/>
        <v>190.26393750000003</v>
      </c>
      <c r="H67" s="9">
        <f t="shared" si="11"/>
        <v>102.07811250000002</v>
      </c>
      <c r="I67" s="9">
        <f t="shared" si="11"/>
        <v>38.656800000000011</v>
      </c>
      <c r="J67" s="9">
        <f t="shared" si="11"/>
        <v>0</v>
      </c>
      <c r="K67" s="9">
        <f t="shared" si="11"/>
        <v>0</v>
      </c>
      <c r="L67" s="9">
        <f t="shared" si="11"/>
        <v>0</v>
      </c>
      <c r="M67" s="9">
        <f t="shared" si="13"/>
        <v>4</v>
      </c>
    </row>
    <row r="68" spans="1:13" x14ac:dyDescent="0.25">
      <c r="A68" s="9">
        <f t="shared" si="10"/>
        <v>4</v>
      </c>
      <c r="B68" s="9">
        <f t="shared" si="12"/>
        <v>459.04950000000002</v>
      </c>
      <c r="C68" s="9">
        <f t="shared" si="11"/>
        <v>398.64825000000002</v>
      </c>
      <c r="D68" s="9">
        <f t="shared" si="11"/>
        <v>338.24700000000001</v>
      </c>
      <c r="E68" s="9">
        <f t="shared" si="11"/>
        <v>277.84575000000001</v>
      </c>
      <c r="F68" s="9">
        <f t="shared" si="11"/>
        <v>217.44450000000001</v>
      </c>
      <c r="G68" s="9">
        <f t="shared" si="11"/>
        <v>157.04325000000003</v>
      </c>
      <c r="H68" s="9">
        <f t="shared" si="11"/>
        <v>96.64200000000001</v>
      </c>
      <c r="I68" s="9">
        <f t="shared" si="11"/>
        <v>38.656800000000011</v>
      </c>
      <c r="J68" s="9">
        <f t="shared" si="11"/>
        <v>0</v>
      </c>
      <c r="K68" s="9">
        <f t="shared" si="11"/>
        <v>0</v>
      </c>
      <c r="L68" s="9">
        <f t="shared" si="11"/>
        <v>0</v>
      </c>
      <c r="M68" s="9">
        <f t="shared" si="13"/>
        <v>3</v>
      </c>
    </row>
    <row r="69" spans="1:13" x14ac:dyDescent="0.25">
      <c r="A69" s="9">
        <f t="shared" si="10"/>
        <v>4.5</v>
      </c>
      <c r="B69" s="9">
        <f t="shared" si="12"/>
        <v>244.62506250000001</v>
      </c>
      <c r="C69" s="9">
        <f t="shared" si="11"/>
        <v>214.42443750000001</v>
      </c>
      <c r="D69" s="9">
        <f t="shared" si="11"/>
        <v>184.22381250000001</v>
      </c>
      <c r="E69" s="9">
        <f t="shared" si="11"/>
        <v>154.02318750000001</v>
      </c>
      <c r="F69" s="9">
        <f t="shared" si="11"/>
        <v>123.8225625</v>
      </c>
      <c r="G69" s="9">
        <f t="shared" si="11"/>
        <v>93.621937500000016</v>
      </c>
      <c r="H69" s="9">
        <f t="shared" si="11"/>
        <v>63.421312500000006</v>
      </c>
      <c r="I69" s="9">
        <f t="shared" si="11"/>
        <v>33.220687500000004</v>
      </c>
      <c r="J69" s="9">
        <f t="shared" si="11"/>
        <v>0</v>
      </c>
      <c r="K69" s="9">
        <f t="shared" si="11"/>
        <v>0</v>
      </c>
      <c r="L69" s="9">
        <f t="shared" si="11"/>
        <v>0</v>
      </c>
      <c r="M69" s="9">
        <f t="shared" si="13"/>
        <v>2</v>
      </c>
    </row>
    <row r="70" spans="1:13" x14ac:dyDescent="0.25">
      <c r="A70" s="9">
        <f t="shared" si="10"/>
        <v>5</v>
      </c>
      <c r="B70" s="9">
        <f t="shared" si="12"/>
        <v>0</v>
      </c>
      <c r="C70" s="9">
        <f t="shared" si="11"/>
        <v>0</v>
      </c>
      <c r="D70" s="9">
        <f t="shared" si="11"/>
        <v>0</v>
      </c>
      <c r="E70" s="9">
        <f t="shared" si="11"/>
        <v>0</v>
      </c>
      <c r="F70" s="9">
        <f t="shared" si="11"/>
        <v>0</v>
      </c>
      <c r="G70" s="9">
        <f t="shared" si="11"/>
        <v>0</v>
      </c>
      <c r="H70" s="9">
        <f t="shared" si="11"/>
        <v>0</v>
      </c>
      <c r="I70" s="9">
        <f t="shared" si="11"/>
        <v>0</v>
      </c>
      <c r="J70" s="9">
        <f t="shared" si="11"/>
        <v>0</v>
      </c>
      <c r="K70" s="9">
        <f t="shared" si="11"/>
        <v>0</v>
      </c>
      <c r="L70" s="9">
        <f t="shared" si="11"/>
        <v>0</v>
      </c>
      <c r="M70" s="9">
        <f t="shared" si="13"/>
        <v>1</v>
      </c>
    </row>
    <row r="71" spans="1:13" x14ac:dyDescent="0.25">
      <c r="A71" s="9"/>
    </row>
  </sheetData>
  <mergeCells count="3">
    <mergeCell ref="B58:L58"/>
    <mergeCell ref="B43:L43"/>
    <mergeCell ref="B28:L28"/>
  </mergeCells>
  <pageMargins left="0.7" right="0.7" top="0.75" bottom="0.75" header="0.3" footer="0.3"/>
  <pageSetup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"/>
  <sheetViews>
    <sheetView workbookViewId="0">
      <selection activeCell="U26" sqref="U26"/>
    </sheetView>
  </sheetViews>
  <sheetFormatPr defaultRowHeight="15" x14ac:dyDescent="0.25"/>
  <cols>
    <col min="1" max="1" width="8.42578125" bestFit="1" customWidth="1"/>
    <col min="2" max="12" width="4.7109375" customWidth="1"/>
  </cols>
  <sheetData>
    <row r="2" spans="1:12" x14ac:dyDescent="0.25">
      <c r="A2" s="14" t="s">
        <v>29</v>
      </c>
      <c r="B2" s="15">
        <v>2</v>
      </c>
      <c r="C2" t="s">
        <v>3</v>
      </c>
    </row>
    <row r="3" spans="1:12" x14ac:dyDescent="0.25">
      <c r="B3">
        <v>2</v>
      </c>
      <c r="C3">
        <f>1+B3</f>
        <v>3</v>
      </c>
      <c r="D3">
        <f t="shared" ref="D3:L3" si="0">1+C3</f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</row>
    <row r="4" spans="1:12" s="16" customFormat="1" x14ac:dyDescent="0.25">
      <c r="A4" s="7" t="s">
        <v>30</v>
      </c>
      <c r="B4" s="9">
        <f>'LongChannel Model'!B29</f>
        <v>0</v>
      </c>
      <c r="C4" s="9">
        <f>'LongChannel Model'!C29</f>
        <v>0.5</v>
      </c>
      <c r="D4" s="9">
        <f>'LongChannel Model'!D29</f>
        <v>1</v>
      </c>
      <c r="E4" s="9">
        <f>'LongChannel Model'!E29</f>
        <v>1.5</v>
      </c>
      <c r="F4" s="9">
        <f>'LongChannel Model'!F29</f>
        <v>2</v>
      </c>
      <c r="G4" s="9">
        <f>'LongChannel Model'!G29</f>
        <v>2.5</v>
      </c>
      <c r="H4" s="9">
        <f>'LongChannel Model'!H29</f>
        <v>3</v>
      </c>
      <c r="I4" s="9">
        <f>'LongChannel Model'!I29</f>
        <v>3.5</v>
      </c>
      <c r="J4" s="9">
        <f>'LongChannel Model'!J29</f>
        <v>4</v>
      </c>
      <c r="K4" s="9">
        <f>'LongChannel Model'!K29</f>
        <v>4.5</v>
      </c>
      <c r="L4" s="9">
        <f>'LongChannel Model'!L29</f>
        <v>5</v>
      </c>
    </row>
    <row r="5" spans="1:12" s="18" customFormat="1" x14ac:dyDescent="0.25">
      <c r="A5" s="17" t="s">
        <v>31</v>
      </c>
      <c r="B5" s="6">
        <f>VLOOKUP($B$2,'LongChannel Model'!$A$30:$L$40,B3,TRUE)</f>
        <v>0</v>
      </c>
      <c r="C5" s="6">
        <f>VLOOKUP($B$2,'LongChannel Model'!$A$30:$L$40,C3,TRUE)</f>
        <v>0</v>
      </c>
      <c r="D5" s="6">
        <f>VLOOKUP($B$2,'LongChannel Model'!$A$30:$L$40,D3,TRUE)</f>
        <v>5.436112500000001</v>
      </c>
      <c r="E5" s="6">
        <f>VLOOKUP($B$2,'LongChannel Model'!$A$30:$L$40,E3,TRUE)</f>
        <v>38.656800000000004</v>
      </c>
      <c r="F5" s="6">
        <f>VLOOKUP($B$2,'LongChannel Model'!$A$30:$L$40,F3,TRUE)</f>
        <v>102.07811249999999</v>
      </c>
      <c r="G5" s="6">
        <f>VLOOKUP($B$2,'LongChannel Model'!$A$30:$L$40,G3,TRUE)</f>
        <v>195.70004999999998</v>
      </c>
      <c r="H5" s="6">
        <f>VLOOKUP($B$2,'LongChannel Model'!$A$30:$L$40,H3,TRUE)</f>
        <v>314.08649999999989</v>
      </c>
      <c r="I5" s="6">
        <f>VLOOKUP($B$2,'LongChannel Model'!$A$30:$L$40,I3,TRUE)</f>
        <v>434.8889999999999</v>
      </c>
      <c r="J5" s="6">
        <f>VLOOKUP($B$2,'LongChannel Model'!$A$30:$L$40,J3,TRUE)</f>
        <v>555.69149999999991</v>
      </c>
      <c r="K5" s="6">
        <f>VLOOKUP($B$2,'LongChannel Model'!$A$30:$L$40,K3,TRUE)</f>
        <v>676.4939999999998</v>
      </c>
      <c r="L5" s="6">
        <f>VLOOKUP($B$2,'LongChannel Model'!$A$30:$L$40,L3,TRUE)</f>
        <v>797.29649999999981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U25" sqref="U25"/>
    </sheetView>
  </sheetViews>
  <sheetFormatPr defaultRowHeight="15" x14ac:dyDescent="0.25"/>
  <cols>
    <col min="1" max="2" width="9.140625" style="9"/>
    <col min="3" max="16384" width="9.140625" style="1"/>
  </cols>
  <sheetData>
    <row r="1" spans="1:5" x14ac:dyDescent="0.25">
      <c r="A1" s="9" t="s">
        <v>64</v>
      </c>
      <c r="B1" s="10">
        <f>C1/3</f>
        <v>2133.3333333333335</v>
      </c>
      <c r="C1" s="3">
        <v>6400</v>
      </c>
      <c r="D1" s="10">
        <f>C1*4</f>
        <v>25600</v>
      </c>
      <c r="E1" s="1" t="s">
        <v>65</v>
      </c>
    </row>
    <row r="2" spans="1:5" x14ac:dyDescent="0.25">
      <c r="B2" s="9" t="s">
        <v>68</v>
      </c>
      <c r="C2" s="9" t="s">
        <v>64</v>
      </c>
      <c r="D2" s="9" t="s">
        <v>67</v>
      </c>
    </row>
    <row r="3" spans="1:5" x14ac:dyDescent="0.25">
      <c r="A3" s="9" t="str">
        <f>'LongChannel Model'!A29</f>
        <v>Vds</v>
      </c>
      <c r="B3" s="9" t="s">
        <v>66</v>
      </c>
      <c r="C3" s="9" t="s">
        <v>66</v>
      </c>
      <c r="D3" s="9" t="s">
        <v>66</v>
      </c>
    </row>
    <row r="4" spans="1:5" x14ac:dyDescent="0.25">
      <c r="A4" s="9">
        <f>'LongChannel Model'!A30</f>
        <v>0</v>
      </c>
      <c r="B4" s="9">
        <f>1000000*($A$14-$A4)/B$1</f>
        <v>2343.75</v>
      </c>
      <c r="C4" s="9">
        <f t="shared" ref="C4:D14" si="0">1000000*($A$14-$A4)/C$1</f>
        <v>781.25</v>
      </c>
      <c r="D4" s="9">
        <f t="shared" si="0"/>
        <v>195.3125</v>
      </c>
    </row>
    <row r="5" spans="1:5" x14ac:dyDescent="0.25">
      <c r="A5" s="9">
        <f>'LongChannel Model'!A31</f>
        <v>0.5</v>
      </c>
      <c r="B5" s="9">
        <f t="shared" ref="B5:B14" si="1">1000000*($A$14-$A5)/B$1</f>
        <v>2109.375</v>
      </c>
      <c r="C5" s="9">
        <f t="shared" si="0"/>
        <v>703.125</v>
      </c>
      <c r="D5" s="9">
        <f t="shared" si="0"/>
        <v>175.78125</v>
      </c>
    </row>
    <row r="6" spans="1:5" x14ac:dyDescent="0.25">
      <c r="A6" s="9">
        <f>'LongChannel Model'!A32</f>
        <v>1</v>
      </c>
      <c r="B6" s="9">
        <f t="shared" si="1"/>
        <v>1874.9999999999998</v>
      </c>
      <c r="C6" s="9">
        <f t="shared" si="0"/>
        <v>625</v>
      </c>
      <c r="D6" s="9">
        <f t="shared" si="0"/>
        <v>156.25</v>
      </c>
    </row>
    <row r="7" spans="1:5" x14ac:dyDescent="0.25">
      <c r="A7" s="9">
        <f>'LongChannel Model'!A33</f>
        <v>1.5</v>
      </c>
      <c r="B7" s="9">
        <f t="shared" si="1"/>
        <v>1640.6249999999998</v>
      </c>
      <c r="C7" s="9">
        <f t="shared" si="0"/>
        <v>546.875</v>
      </c>
      <c r="D7" s="9">
        <f t="shared" si="0"/>
        <v>136.71875</v>
      </c>
    </row>
    <row r="8" spans="1:5" x14ac:dyDescent="0.25">
      <c r="A8" s="9">
        <f>'LongChannel Model'!A34</f>
        <v>2</v>
      </c>
      <c r="B8" s="9">
        <f t="shared" si="1"/>
        <v>1406.25</v>
      </c>
      <c r="C8" s="9">
        <f t="shared" si="0"/>
        <v>468.75</v>
      </c>
      <c r="D8" s="9">
        <f t="shared" si="0"/>
        <v>117.1875</v>
      </c>
    </row>
    <row r="9" spans="1:5" x14ac:dyDescent="0.25">
      <c r="A9" s="9">
        <f>'LongChannel Model'!A35</f>
        <v>2.5</v>
      </c>
      <c r="B9" s="9">
        <f t="shared" si="1"/>
        <v>1171.875</v>
      </c>
      <c r="C9" s="9">
        <f t="shared" si="0"/>
        <v>390.625</v>
      </c>
      <c r="D9" s="9">
        <f t="shared" si="0"/>
        <v>97.65625</v>
      </c>
    </row>
    <row r="10" spans="1:5" x14ac:dyDescent="0.25">
      <c r="A10" s="9">
        <f>'LongChannel Model'!A36</f>
        <v>3</v>
      </c>
      <c r="B10" s="9">
        <f t="shared" si="1"/>
        <v>937.49999999999989</v>
      </c>
      <c r="C10" s="9">
        <f t="shared" si="0"/>
        <v>312.5</v>
      </c>
      <c r="D10" s="9">
        <f t="shared" si="0"/>
        <v>78.125</v>
      </c>
    </row>
    <row r="11" spans="1:5" x14ac:dyDescent="0.25">
      <c r="A11" s="9">
        <f>'LongChannel Model'!A37</f>
        <v>3.5</v>
      </c>
      <c r="B11" s="9">
        <f t="shared" si="1"/>
        <v>703.125</v>
      </c>
      <c r="C11" s="9">
        <f t="shared" si="0"/>
        <v>234.375</v>
      </c>
      <c r="D11" s="9">
        <f t="shared" si="0"/>
        <v>58.59375</v>
      </c>
    </row>
    <row r="12" spans="1:5" x14ac:dyDescent="0.25">
      <c r="A12" s="9">
        <f>'LongChannel Model'!A38</f>
        <v>4</v>
      </c>
      <c r="B12" s="9">
        <f t="shared" si="1"/>
        <v>468.74999999999994</v>
      </c>
      <c r="C12" s="9">
        <f t="shared" si="0"/>
        <v>156.25</v>
      </c>
      <c r="D12" s="9">
        <f t="shared" si="0"/>
        <v>39.0625</v>
      </c>
    </row>
    <row r="13" spans="1:5" x14ac:dyDescent="0.25">
      <c r="A13" s="9">
        <f>'LongChannel Model'!A39</f>
        <v>4.5</v>
      </c>
      <c r="B13" s="9">
        <f t="shared" si="1"/>
        <v>234.37499999999997</v>
      </c>
      <c r="C13" s="9">
        <f t="shared" si="0"/>
        <v>78.125</v>
      </c>
      <c r="D13" s="9">
        <f t="shared" si="0"/>
        <v>19.53125</v>
      </c>
    </row>
    <row r="14" spans="1:5" x14ac:dyDescent="0.25">
      <c r="A14" s="9">
        <f>'LongChannel Model'!A40</f>
        <v>5</v>
      </c>
      <c r="B14" s="9">
        <f t="shared" si="1"/>
        <v>0</v>
      </c>
      <c r="C14" s="9">
        <f t="shared" si="0"/>
        <v>0</v>
      </c>
      <c r="D14" s="9">
        <f t="shared" si="0"/>
        <v>0</v>
      </c>
    </row>
    <row r="15" spans="1:5" x14ac:dyDescent="0.25">
      <c r="C15" s="9"/>
      <c r="D15" s="9"/>
    </row>
    <row r="16" spans="1:5" x14ac:dyDescent="0.25">
      <c r="A16" s="9" t="s">
        <v>69</v>
      </c>
      <c r="B16" s="9">
        <f>1.1*'LongChannel Model'!L40</f>
        <v>1228.5010237499996</v>
      </c>
    </row>
    <row r="17" spans="1:4" x14ac:dyDescent="0.25">
      <c r="B17" s="9" t="s">
        <v>68</v>
      </c>
      <c r="C17" s="9" t="s">
        <v>64</v>
      </c>
      <c r="D17" s="9" t="s">
        <v>67</v>
      </c>
    </row>
    <row r="18" spans="1:4" x14ac:dyDescent="0.25">
      <c r="A18" s="9" t="str">
        <f>A3</f>
        <v>Vds</v>
      </c>
      <c r="B18" s="9" t="s">
        <v>66</v>
      </c>
      <c r="C18" s="9" t="s">
        <v>66</v>
      </c>
      <c r="D18" s="9" t="s">
        <v>66</v>
      </c>
    </row>
    <row r="19" spans="1:4" x14ac:dyDescent="0.25">
      <c r="A19" s="9">
        <f t="shared" ref="A19:A30" si="2">A4</f>
        <v>0</v>
      </c>
      <c r="B19" s="9" t="e">
        <f>IF(B4&lt;=$B$16,B4,NA())</f>
        <v>#N/A</v>
      </c>
      <c r="C19" s="9">
        <f t="shared" ref="C19:D19" si="3">IF(C4&lt;=$B$16,C4,NA())</f>
        <v>781.25</v>
      </c>
      <c r="D19" s="9">
        <f t="shared" si="3"/>
        <v>195.3125</v>
      </c>
    </row>
    <row r="20" spans="1:4" x14ac:dyDescent="0.25">
      <c r="A20" s="9">
        <f t="shared" si="2"/>
        <v>0.5</v>
      </c>
      <c r="B20" s="9" t="e">
        <f t="shared" ref="B20:D20" si="4">IF(B5&lt;=$B$16,B5,NA())</f>
        <v>#N/A</v>
      </c>
      <c r="C20" s="9">
        <f t="shared" si="4"/>
        <v>703.125</v>
      </c>
      <c r="D20" s="9">
        <f t="shared" si="4"/>
        <v>175.78125</v>
      </c>
    </row>
    <row r="21" spans="1:4" x14ac:dyDescent="0.25">
      <c r="A21" s="9">
        <f t="shared" si="2"/>
        <v>1</v>
      </c>
      <c r="B21" s="9" t="e">
        <f t="shared" ref="B21:D21" si="5">IF(B6&lt;=$B$16,B6,NA())</f>
        <v>#N/A</v>
      </c>
      <c r="C21" s="9">
        <f t="shared" si="5"/>
        <v>625</v>
      </c>
      <c r="D21" s="9">
        <f t="shared" si="5"/>
        <v>156.25</v>
      </c>
    </row>
    <row r="22" spans="1:4" x14ac:dyDescent="0.25">
      <c r="A22" s="9">
        <f t="shared" si="2"/>
        <v>1.5</v>
      </c>
      <c r="B22" s="9" t="e">
        <f t="shared" ref="B22:D22" si="6">IF(B7&lt;=$B$16,B7,NA())</f>
        <v>#N/A</v>
      </c>
      <c r="C22" s="9">
        <f t="shared" si="6"/>
        <v>546.875</v>
      </c>
      <c r="D22" s="9">
        <f t="shared" si="6"/>
        <v>136.71875</v>
      </c>
    </row>
    <row r="23" spans="1:4" x14ac:dyDescent="0.25">
      <c r="A23" s="9">
        <f t="shared" si="2"/>
        <v>2</v>
      </c>
      <c r="B23" s="9" t="e">
        <f t="shared" ref="B23:D23" si="7">IF(B8&lt;=$B$16,B8,NA())</f>
        <v>#N/A</v>
      </c>
      <c r="C23" s="9">
        <f t="shared" si="7"/>
        <v>468.75</v>
      </c>
      <c r="D23" s="9">
        <f t="shared" si="7"/>
        <v>117.1875</v>
      </c>
    </row>
    <row r="24" spans="1:4" x14ac:dyDescent="0.25">
      <c r="A24" s="9">
        <f t="shared" si="2"/>
        <v>2.5</v>
      </c>
      <c r="B24" s="9">
        <f t="shared" ref="B24:D24" si="8">IF(B9&lt;=$B$16,B9,NA())</f>
        <v>1171.875</v>
      </c>
      <c r="C24" s="9">
        <f t="shared" si="8"/>
        <v>390.625</v>
      </c>
      <c r="D24" s="9">
        <f t="shared" si="8"/>
        <v>97.65625</v>
      </c>
    </row>
    <row r="25" spans="1:4" x14ac:dyDescent="0.25">
      <c r="A25" s="9">
        <f t="shared" si="2"/>
        <v>3</v>
      </c>
      <c r="B25" s="9">
        <f t="shared" ref="B25:D25" si="9">IF(B10&lt;=$B$16,B10,NA())</f>
        <v>937.49999999999989</v>
      </c>
      <c r="C25" s="9">
        <f t="shared" si="9"/>
        <v>312.5</v>
      </c>
      <c r="D25" s="9">
        <f t="shared" si="9"/>
        <v>78.125</v>
      </c>
    </row>
    <row r="26" spans="1:4" x14ac:dyDescent="0.25">
      <c r="A26" s="9">
        <f t="shared" si="2"/>
        <v>3.5</v>
      </c>
      <c r="B26" s="9">
        <f t="shared" ref="B26:D26" si="10">IF(B11&lt;=$B$16,B11,NA())</f>
        <v>703.125</v>
      </c>
      <c r="C26" s="9">
        <f t="shared" si="10"/>
        <v>234.375</v>
      </c>
      <c r="D26" s="9">
        <f t="shared" si="10"/>
        <v>58.59375</v>
      </c>
    </row>
    <row r="27" spans="1:4" x14ac:dyDescent="0.25">
      <c r="A27" s="9">
        <f t="shared" si="2"/>
        <v>4</v>
      </c>
      <c r="B27" s="9">
        <f t="shared" ref="B27:D27" si="11">IF(B12&lt;=$B$16,B12,NA())</f>
        <v>468.74999999999994</v>
      </c>
      <c r="C27" s="9">
        <f t="shared" si="11"/>
        <v>156.25</v>
      </c>
      <c r="D27" s="9">
        <f t="shared" si="11"/>
        <v>39.0625</v>
      </c>
    </row>
    <row r="28" spans="1:4" x14ac:dyDescent="0.25">
      <c r="A28" s="9">
        <f t="shared" si="2"/>
        <v>4.5</v>
      </c>
      <c r="B28" s="9">
        <f t="shared" ref="B28:D28" si="12">IF(B13&lt;=$B$16,B13,NA())</f>
        <v>234.37499999999997</v>
      </c>
      <c r="C28" s="9">
        <f t="shared" si="12"/>
        <v>78.125</v>
      </c>
      <c r="D28" s="9">
        <f t="shared" si="12"/>
        <v>19.53125</v>
      </c>
    </row>
    <row r="29" spans="1:4" x14ac:dyDescent="0.25">
      <c r="A29" s="9">
        <f t="shared" si="2"/>
        <v>5</v>
      </c>
      <c r="B29" s="9">
        <f t="shared" ref="B29:D29" si="13">IF(B14&lt;=$B$16,B14,NA())</f>
        <v>0</v>
      </c>
      <c r="C29" s="9">
        <f t="shared" si="13"/>
        <v>0</v>
      </c>
      <c r="D29" s="9">
        <f t="shared" si="13"/>
        <v>0</v>
      </c>
    </row>
    <row r="30" spans="1:4" x14ac:dyDescent="0.25">
      <c r="C30" s="9"/>
      <c r="D30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Parameter Sets</vt:lpstr>
      <vt:lpstr>LongChannel Model</vt:lpstr>
      <vt:lpstr>Fixed Vds</vt:lpstr>
      <vt:lpstr>R Pullup</vt:lpstr>
    </vt:vector>
  </TitlesOfParts>
  <Company>University of Notre Dame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Kogge</dc:creator>
  <cp:lastModifiedBy>Peter Kogge</cp:lastModifiedBy>
  <cp:lastPrinted>2012-08-31T17:38:00Z</cp:lastPrinted>
  <dcterms:created xsi:type="dcterms:W3CDTF">2012-08-28T14:13:19Z</dcterms:created>
  <dcterms:modified xsi:type="dcterms:W3CDTF">2012-08-31T20:54:36Z</dcterms:modified>
</cp:coreProperties>
</file>