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7235" windowHeight="11955" activeTab="1"/>
  </bookViews>
  <sheets>
    <sheet name="ReadMe" sheetId="5" r:id="rId1"/>
    <sheet name="Parameter Sets" sheetId="4" r:id="rId2"/>
    <sheet name="LongChannel Model" sheetId="1" r:id="rId3"/>
    <sheet name="Fixed Vds" sheetId="3" r:id="rId4"/>
    <sheet name="R Pullup" sheetId="6" r:id="rId5"/>
    <sheet name="Analog Invertor" sheetId="7" r:id="rId6"/>
  </sheets>
  <calcPr calcId="145621"/>
</workbook>
</file>

<file path=xl/calcChain.xml><?xml version="1.0" encoding="utf-8"?>
<calcChain xmlns="http://schemas.openxmlformats.org/spreadsheetml/2006/main">
  <c r="B1" i="6" l="1"/>
  <c r="B27" i="1" l="1"/>
  <c r="B8" i="1" l="1"/>
  <c r="D1" i="6" l="1"/>
  <c r="A4" i="6"/>
  <c r="A19" i="6" s="1"/>
  <c r="A3" i="6"/>
  <c r="A18" i="6" s="1"/>
  <c r="C20" i="4"/>
  <c r="C24" i="4"/>
  <c r="C25" i="4"/>
  <c r="C27" i="4"/>
  <c r="C26" i="4"/>
  <c r="C10" i="1"/>
  <c r="C23" i="4"/>
  <c r="C8" i="1" s="1"/>
  <c r="C18" i="1" s="1"/>
  <c r="C22" i="4"/>
  <c r="C7" i="1" s="1"/>
  <c r="C21" i="4"/>
  <c r="F19" i="4"/>
  <c r="E19" i="4"/>
  <c r="D19" i="4"/>
  <c r="D20" i="4"/>
  <c r="E20" i="4"/>
  <c r="F20" i="4"/>
  <c r="E24" i="4"/>
  <c r="E25" i="4"/>
  <c r="D6" i="4"/>
  <c r="E6" i="4"/>
  <c r="F6" i="4"/>
  <c r="E7" i="4"/>
  <c r="C5" i="1"/>
  <c r="B5" i="1"/>
  <c r="B20" i="4"/>
  <c r="A20" i="4"/>
  <c r="C4" i="1"/>
  <c r="C19" i="4"/>
  <c r="A27" i="4"/>
  <c r="A26" i="4"/>
  <c r="A25" i="4"/>
  <c r="A24" i="4"/>
  <c r="A23" i="4"/>
  <c r="A22" i="4"/>
  <c r="A21" i="4"/>
  <c r="B4" i="1"/>
  <c r="C1" i="1" s="1"/>
  <c r="C12" i="1"/>
  <c r="C11" i="1"/>
  <c r="C19" i="1" s="1"/>
  <c r="C9" i="1"/>
  <c r="C6" i="1"/>
  <c r="B12" i="1"/>
  <c r="B11" i="1"/>
  <c r="B19" i="1" s="1"/>
  <c r="B10" i="1"/>
  <c r="B9" i="1"/>
  <c r="B18" i="1"/>
  <c r="B6" i="1"/>
  <c r="C17" i="1" l="1"/>
  <c r="B7" i="1"/>
  <c r="B17" i="1" s="1"/>
  <c r="C20" i="1"/>
  <c r="C23" i="1" s="1"/>
  <c r="B20" i="1"/>
  <c r="B23" i="1" s="1"/>
  <c r="C3" i="3"/>
  <c r="D3" i="3" s="1"/>
  <c r="E3" i="3" s="1"/>
  <c r="F3" i="3" s="1"/>
  <c r="G3" i="3" s="1"/>
  <c r="H3" i="3" s="1"/>
  <c r="I3" i="3" s="1"/>
  <c r="J3" i="3" s="1"/>
  <c r="K3" i="3" s="1"/>
  <c r="L3" i="3" s="1"/>
  <c r="B4" i="3"/>
  <c r="M62" i="1"/>
  <c r="M63" i="1" s="1"/>
  <c r="M64" i="1" s="1"/>
  <c r="M65" i="1" s="1"/>
  <c r="M66" i="1" s="1"/>
  <c r="M67" i="1" s="1"/>
  <c r="M68" i="1" s="1"/>
  <c r="M69" i="1" s="1"/>
  <c r="M70" i="1" s="1"/>
  <c r="M71" i="1" s="1"/>
  <c r="C58" i="1"/>
  <c r="D58" i="1" s="1"/>
  <c r="E58" i="1" s="1"/>
  <c r="F58" i="1" s="1"/>
  <c r="G58" i="1" s="1"/>
  <c r="H58" i="1" s="1"/>
  <c r="I58" i="1" s="1"/>
  <c r="J58" i="1" s="1"/>
  <c r="K58" i="1" s="1"/>
  <c r="L58" i="1" s="1"/>
  <c r="B60" i="1"/>
  <c r="A61" i="1"/>
  <c r="B25" i="1"/>
  <c r="B26" i="1" s="1"/>
  <c r="B45" i="1" l="1"/>
  <c r="B43" i="1" s="1"/>
  <c r="A46" i="1"/>
  <c r="C16" i="1"/>
  <c r="C21" i="1" l="1"/>
  <c r="C22" i="1" s="1"/>
  <c r="B28" i="1"/>
  <c r="C30" i="1"/>
  <c r="C27" i="1" s="1"/>
  <c r="A32" i="1"/>
  <c r="A5" i="6" s="1"/>
  <c r="A20" i="6" s="1"/>
  <c r="B16" i="1"/>
  <c r="B46" i="1" l="1"/>
  <c r="L71" i="1" s="1"/>
  <c r="C60" i="1"/>
  <c r="C4" i="3"/>
  <c r="A47" i="1"/>
  <c r="B47" i="1" s="1"/>
  <c r="L70" i="1" s="1"/>
  <c r="A62" i="1"/>
  <c r="C45" i="1"/>
  <c r="C43" i="1" s="1"/>
  <c r="B21" i="1"/>
  <c r="B22" i="1" s="1"/>
  <c r="A33" i="1"/>
  <c r="A6" i="6" s="1"/>
  <c r="A21" i="6" s="1"/>
  <c r="D30" i="1"/>
  <c r="C28" i="1"/>
  <c r="D4" i="3" l="1"/>
  <c r="D27" i="1"/>
  <c r="C47" i="1"/>
  <c r="K70" i="1" s="1"/>
  <c r="D45" i="1"/>
  <c r="D43" i="1" s="1"/>
  <c r="D46" i="1" s="1"/>
  <c r="J71" i="1" s="1"/>
  <c r="D60" i="1"/>
  <c r="C33" i="1"/>
  <c r="A63" i="1"/>
  <c r="C46" i="1"/>
  <c r="K71" i="1" s="1"/>
  <c r="D28" i="1"/>
  <c r="D31" i="1" s="1"/>
  <c r="B33" i="1"/>
  <c r="B32" i="1"/>
  <c r="C32" i="1"/>
  <c r="C31" i="1"/>
  <c r="B31" i="1"/>
  <c r="E30" i="1"/>
  <c r="A34" i="1"/>
  <c r="A7" i="6" s="1"/>
  <c r="A22" i="6" s="1"/>
  <c r="A48" i="1"/>
  <c r="E4" i="3" l="1"/>
  <c r="E27" i="1"/>
  <c r="D48" i="1"/>
  <c r="J69" i="1" s="1"/>
  <c r="D47" i="1"/>
  <c r="J70" i="1" s="1"/>
  <c r="E60" i="1"/>
  <c r="C34" i="1"/>
  <c r="A64" i="1"/>
  <c r="B34" i="1"/>
  <c r="D32" i="1"/>
  <c r="D33" i="1"/>
  <c r="F30" i="1"/>
  <c r="B48" i="1"/>
  <c r="L69" i="1" s="1"/>
  <c r="C48" i="1"/>
  <c r="K69" i="1" s="1"/>
  <c r="E28" i="1"/>
  <c r="E31" i="1" s="1"/>
  <c r="E45" i="1"/>
  <c r="E43" i="1" s="1"/>
  <c r="A35" i="1"/>
  <c r="A49" i="1"/>
  <c r="D34" i="1"/>
  <c r="F4" i="3" l="1"/>
  <c r="F27" i="1"/>
  <c r="A65" i="1"/>
  <c r="A8" i="6"/>
  <c r="A23" i="6" s="1"/>
  <c r="F45" i="1"/>
  <c r="F43" i="1" s="1"/>
  <c r="F48" i="1" s="1"/>
  <c r="H69" i="1" s="1"/>
  <c r="F28" i="1"/>
  <c r="F34" i="1" s="1"/>
  <c r="G30" i="1"/>
  <c r="F60" i="1"/>
  <c r="B35" i="1"/>
  <c r="C35" i="1"/>
  <c r="E46" i="1"/>
  <c r="I71" i="1" s="1"/>
  <c r="E33" i="1"/>
  <c r="E48" i="1"/>
  <c r="I69" i="1" s="1"/>
  <c r="E34" i="1"/>
  <c r="E32" i="1"/>
  <c r="E47" i="1"/>
  <c r="I70" i="1" s="1"/>
  <c r="E35" i="1"/>
  <c r="B49" i="1"/>
  <c r="L68" i="1" s="1"/>
  <c r="C49" i="1"/>
  <c r="K68" i="1" s="1"/>
  <c r="D49" i="1"/>
  <c r="J68" i="1" s="1"/>
  <c r="E49" i="1"/>
  <c r="I68" i="1" s="1"/>
  <c r="A36" i="1"/>
  <c r="A9" i="6" s="1"/>
  <c r="A24" i="6" s="1"/>
  <c r="A50" i="1"/>
  <c r="D35" i="1"/>
  <c r="G45" i="1" l="1"/>
  <c r="G43" i="1" s="1"/>
  <c r="G49" i="1" s="1"/>
  <c r="G68" i="1" s="1"/>
  <c r="G27" i="1"/>
  <c r="F47" i="1"/>
  <c r="H70" i="1" s="1"/>
  <c r="F49" i="1"/>
  <c r="H68" i="1" s="1"/>
  <c r="F46" i="1"/>
  <c r="H71" i="1" s="1"/>
  <c r="F50" i="1"/>
  <c r="H67" i="1" s="1"/>
  <c r="G28" i="1"/>
  <c r="G34" i="1" s="1"/>
  <c r="H30" i="1"/>
  <c r="F32" i="1"/>
  <c r="F33" i="1"/>
  <c r="F35" i="1"/>
  <c r="A66" i="1"/>
  <c r="G60" i="1"/>
  <c r="G4" i="3"/>
  <c r="F31" i="1"/>
  <c r="B36" i="1"/>
  <c r="C36" i="1"/>
  <c r="E50" i="1"/>
  <c r="I67" i="1" s="1"/>
  <c r="C50" i="1"/>
  <c r="K67" i="1" s="1"/>
  <c r="B50" i="1"/>
  <c r="L67" i="1" s="1"/>
  <c r="D50" i="1"/>
  <c r="J67" i="1" s="1"/>
  <c r="A37" i="1"/>
  <c r="A51" i="1"/>
  <c r="D36" i="1"/>
  <c r="F36" i="1"/>
  <c r="E36" i="1"/>
  <c r="G48" i="1" l="1"/>
  <c r="G69" i="1" s="1"/>
  <c r="G46" i="1"/>
  <c r="G71" i="1" s="1"/>
  <c r="G47" i="1"/>
  <c r="G70" i="1" s="1"/>
  <c r="G50" i="1"/>
  <c r="G67" i="1" s="1"/>
  <c r="H45" i="1"/>
  <c r="H43" i="1" s="1"/>
  <c r="H50" i="1" s="1"/>
  <c r="F67" i="1" s="1"/>
  <c r="H27" i="1"/>
  <c r="A67" i="1"/>
  <c r="A10" i="6"/>
  <c r="A25" i="6" s="1"/>
  <c r="I30" i="1"/>
  <c r="H60" i="1"/>
  <c r="H28" i="1"/>
  <c r="H31" i="1" s="1"/>
  <c r="G35" i="1"/>
  <c r="H4" i="3"/>
  <c r="G36" i="1"/>
  <c r="G33" i="1"/>
  <c r="G32" i="1"/>
  <c r="G31" i="1"/>
  <c r="C37" i="1"/>
  <c r="B37" i="1"/>
  <c r="B51" i="1"/>
  <c r="L66" i="1" s="1"/>
  <c r="C51" i="1"/>
  <c r="K66" i="1" s="1"/>
  <c r="D51" i="1"/>
  <c r="J66" i="1" s="1"/>
  <c r="E51" i="1"/>
  <c r="I66" i="1" s="1"/>
  <c r="F51" i="1"/>
  <c r="H66" i="1" s="1"/>
  <c r="A38" i="1"/>
  <c r="A52" i="1"/>
  <c r="D37" i="1"/>
  <c r="E37" i="1"/>
  <c r="F37" i="1"/>
  <c r="G37" i="1"/>
  <c r="G51" i="1"/>
  <c r="G66" i="1" s="1"/>
  <c r="H48" i="1"/>
  <c r="F69" i="1" s="1"/>
  <c r="H47" i="1"/>
  <c r="F70" i="1" s="1"/>
  <c r="H49" i="1" l="1"/>
  <c r="F68" i="1" s="1"/>
  <c r="H46" i="1"/>
  <c r="F71" i="1" s="1"/>
  <c r="H51" i="1"/>
  <c r="F66" i="1" s="1"/>
  <c r="F12" i="7" s="1"/>
  <c r="G13" i="7"/>
  <c r="I4" i="3"/>
  <c r="I27" i="1"/>
  <c r="H35" i="1"/>
  <c r="H37" i="1"/>
  <c r="H13" i="7" s="1"/>
  <c r="F13" i="7"/>
  <c r="G12" i="7"/>
  <c r="A68" i="1"/>
  <c r="A11" i="6"/>
  <c r="A26" i="6" s="1"/>
  <c r="H32" i="1"/>
  <c r="H36" i="1"/>
  <c r="H12" i="7" s="1"/>
  <c r="J30" i="1"/>
  <c r="I60" i="1"/>
  <c r="I28" i="1"/>
  <c r="I32" i="1" s="1"/>
  <c r="I45" i="1"/>
  <c r="I43" i="1" s="1"/>
  <c r="I50" i="1" s="1"/>
  <c r="E67" i="1" s="1"/>
  <c r="E13" i="7" s="1"/>
  <c r="H33" i="1"/>
  <c r="H34" i="1"/>
  <c r="A39" i="1"/>
  <c r="C38" i="1"/>
  <c r="B38" i="1"/>
  <c r="C52" i="1"/>
  <c r="K65" i="1" s="1"/>
  <c r="B52" i="1"/>
  <c r="L65" i="1" s="1"/>
  <c r="D52" i="1"/>
  <c r="J65" i="1" s="1"/>
  <c r="H52" i="1"/>
  <c r="F65" i="1" s="1"/>
  <c r="F11" i="7" s="1"/>
  <c r="E52" i="1"/>
  <c r="I65" i="1" s="1"/>
  <c r="F52" i="1"/>
  <c r="H65" i="1" s="1"/>
  <c r="G52" i="1"/>
  <c r="G65" i="1" s="1"/>
  <c r="G11" i="7" s="1"/>
  <c r="A53" i="1"/>
  <c r="D38" i="1"/>
  <c r="E38" i="1"/>
  <c r="F38" i="1"/>
  <c r="F14" i="7" s="1"/>
  <c r="G38" i="1"/>
  <c r="G14" i="7" s="1"/>
  <c r="H38" i="1"/>
  <c r="H14" i="7" s="1"/>
  <c r="J4" i="3" l="1"/>
  <c r="J27" i="1"/>
  <c r="H11" i="7"/>
  <c r="D39" i="1"/>
  <c r="A12" i="6"/>
  <c r="A27" i="6" s="1"/>
  <c r="I38" i="1"/>
  <c r="I14" i="7" s="1"/>
  <c r="I33" i="1"/>
  <c r="I53" i="1"/>
  <c r="E64" i="1" s="1"/>
  <c r="E10" i="7" s="1"/>
  <c r="I48" i="1"/>
  <c r="E69" i="1" s="1"/>
  <c r="I52" i="1"/>
  <c r="E65" i="1" s="1"/>
  <c r="E11" i="7" s="1"/>
  <c r="I31" i="1"/>
  <c r="I36" i="1"/>
  <c r="I12" i="7" s="1"/>
  <c r="I34" i="1"/>
  <c r="I37" i="1"/>
  <c r="I13" i="7" s="1"/>
  <c r="I39" i="1"/>
  <c r="I15" i="7" s="1"/>
  <c r="I35" i="1"/>
  <c r="I11" i="7" s="1"/>
  <c r="I49" i="1"/>
  <c r="E68" i="1" s="1"/>
  <c r="E14" i="7" s="1"/>
  <c r="J45" i="1"/>
  <c r="J43" i="1" s="1"/>
  <c r="J48" i="1" s="1"/>
  <c r="D69" i="1" s="1"/>
  <c r="I46" i="1"/>
  <c r="E71" i="1" s="1"/>
  <c r="J60" i="1"/>
  <c r="J28" i="1"/>
  <c r="J36" i="1" s="1"/>
  <c r="J12" i="7" s="1"/>
  <c r="I51" i="1"/>
  <c r="E66" i="1" s="1"/>
  <c r="E12" i="7" s="1"/>
  <c r="K30" i="1"/>
  <c r="I47" i="1"/>
  <c r="E70" i="1" s="1"/>
  <c r="E39" i="1"/>
  <c r="H39" i="1"/>
  <c r="H15" i="7" s="1"/>
  <c r="G39" i="1"/>
  <c r="G15" i="7" s="1"/>
  <c r="F39" i="1"/>
  <c r="F15" i="7" s="1"/>
  <c r="A40" i="1"/>
  <c r="A69" i="1"/>
  <c r="A54" i="1"/>
  <c r="B39" i="1"/>
  <c r="C39" i="1"/>
  <c r="C53" i="1"/>
  <c r="K64" i="1" s="1"/>
  <c r="B53" i="1"/>
  <c r="L64" i="1" s="1"/>
  <c r="D53" i="1"/>
  <c r="J64" i="1" s="1"/>
  <c r="E53" i="1"/>
  <c r="I64" i="1" s="1"/>
  <c r="F53" i="1"/>
  <c r="H64" i="1" s="1"/>
  <c r="H10" i="7" s="1"/>
  <c r="G53" i="1"/>
  <c r="G64" i="1" s="1"/>
  <c r="G10" i="7" s="1"/>
  <c r="H53" i="1"/>
  <c r="F64" i="1" s="1"/>
  <c r="F10" i="7" s="1"/>
  <c r="K4" i="3" l="1"/>
  <c r="K27" i="1"/>
  <c r="E15" i="7"/>
  <c r="I10" i="7"/>
  <c r="D15" i="7"/>
  <c r="A70" i="1"/>
  <c r="A13" i="6"/>
  <c r="A28" i="6" s="1"/>
  <c r="C40" i="1"/>
  <c r="B40" i="1"/>
  <c r="J37" i="1"/>
  <c r="J13" i="7" s="1"/>
  <c r="J39" i="1"/>
  <c r="J15" i="7" s="1"/>
  <c r="J34" i="1"/>
  <c r="J10" i="7" s="1"/>
  <c r="J32" i="1"/>
  <c r="J35" i="1"/>
  <c r="J11" i="7" s="1"/>
  <c r="J38" i="1"/>
  <c r="J14" i="7" s="1"/>
  <c r="J31" i="1"/>
  <c r="J33" i="1"/>
  <c r="J49" i="1"/>
  <c r="D68" i="1" s="1"/>
  <c r="D14" i="7" s="1"/>
  <c r="J51" i="1"/>
  <c r="D66" i="1" s="1"/>
  <c r="D12" i="7" s="1"/>
  <c r="J52" i="1"/>
  <c r="D65" i="1" s="1"/>
  <c r="D11" i="7" s="1"/>
  <c r="J46" i="1"/>
  <c r="D71" i="1" s="1"/>
  <c r="J53" i="1"/>
  <c r="D64" i="1" s="1"/>
  <c r="D10" i="7" s="1"/>
  <c r="J47" i="1"/>
  <c r="D70" i="1" s="1"/>
  <c r="K60" i="1"/>
  <c r="K28" i="1"/>
  <c r="K32" i="1" s="1"/>
  <c r="K45" i="1"/>
  <c r="K43" i="1" s="1"/>
  <c r="K53" i="1" s="1"/>
  <c r="C64" i="1" s="1"/>
  <c r="C10" i="7" s="1"/>
  <c r="J50" i="1"/>
  <c r="D67" i="1" s="1"/>
  <c r="D13" i="7" s="1"/>
  <c r="L30" i="1"/>
  <c r="I40" i="1"/>
  <c r="I16" i="7" s="1"/>
  <c r="H40" i="1"/>
  <c r="H16" i="7" s="1"/>
  <c r="D40" i="1"/>
  <c r="G40" i="1"/>
  <c r="G16" i="7" s="1"/>
  <c r="F40" i="1"/>
  <c r="F16" i="7" s="1"/>
  <c r="E40" i="1"/>
  <c r="E16" i="7" s="1"/>
  <c r="A55" i="1"/>
  <c r="C55" i="1" s="1"/>
  <c r="K62" i="1" s="1"/>
  <c r="A41" i="1"/>
  <c r="J40" i="1"/>
  <c r="J16" i="7" s="1"/>
  <c r="D54" i="1"/>
  <c r="J63" i="1" s="1"/>
  <c r="B54" i="1"/>
  <c r="L63" i="1" s="1"/>
  <c r="J54" i="1"/>
  <c r="D63" i="1" s="1"/>
  <c r="D9" i="7" s="1"/>
  <c r="C54" i="1"/>
  <c r="K63" i="1" s="1"/>
  <c r="I54" i="1"/>
  <c r="E63" i="1" s="1"/>
  <c r="E9" i="7" s="1"/>
  <c r="E54" i="1"/>
  <c r="I63" i="1" s="1"/>
  <c r="I9" i="7" s="1"/>
  <c r="F54" i="1"/>
  <c r="H63" i="1" s="1"/>
  <c r="H9" i="7" s="1"/>
  <c r="G54" i="1"/>
  <c r="G63" i="1" s="1"/>
  <c r="G9" i="7" s="1"/>
  <c r="H54" i="1"/>
  <c r="F63" i="1" s="1"/>
  <c r="F9" i="7" s="1"/>
  <c r="L4" i="3" l="1"/>
  <c r="L27" i="1"/>
  <c r="D16" i="7"/>
  <c r="J9" i="7"/>
  <c r="K8" i="7"/>
  <c r="E41" i="1"/>
  <c r="E17" i="7" s="1"/>
  <c r="A14" i="6"/>
  <c r="D55" i="1"/>
  <c r="J62" i="1" s="1"/>
  <c r="J8" i="7" s="1"/>
  <c r="C41" i="1"/>
  <c r="B41" i="1"/>
  <c r="B55" i="1"/>
  <c r="L62" i="1" s="1"/>
  <c r="L60" i="1"/>
  <c r="L45" i="1"/>
  <c r="L43" i="1" s="1"/>
  <c r="L52" i="1" s="1"/>
  <c r="B65" i="1" s="1"/>
  <c r="B11" i="7" s="1"/>
  <c r="D41" i="1"/>
  <c r="K33" i="1"/>
  <c r="K9" i="7" s="1"/>
  <c r="L28" i="1"/>
  <c r="L32" i="1" s="1"/>
  <c r="K36" i="1"/>
  <c r="K12" i="7" s="1"/>
  <c r="K35" i="1"/>
  <c r="K11" i="7" s="1"/>
  <c r="K34" i="1"/>
  <c r="K10" i="7" s="1"/>
  <c r="K54" i="1"/>
  <c r="C63" i="1" s="1"/>
  <c r="C9" i="7" s="1"/>
  <c r="K39" i="1"/>
  <c r="K15" i="7" s="1"/>
  <c r="K49" i="1"/>
  <c r="C68" i="1" s="1"/>
  <c r="C14" i="7" s="1"/>
  <c r="K47" i="1"/>
  <c r="C70" i="1" s="1"/>
  <c r="C16" i="7" s="1"/>
  <c r="K31" i="1"/>
  <c r="K38" i="1"/>
  <c r="K14" i="7" s="1"/>
  <c r="K51" i="1"/>
  <c r="C66" i="1" s="1"/>
  <c r="C12" i="7" s="1"/>
  <c r="K48" i="1"/>
  <c r="C69" i="1" s="1"/>
  <c r="C15" i="7" s="1"/>
  <c r="K37" i="1"/>
  <c r="K13" i="7" s="1"/>
  <c r="K46" i="1"/>
  <c r="C71" i="1" s="1"/>
  <c r="K52" i="1"/>
  <c r="C65" i="1" s="1"/>
  <c r="C11" i="7" s="1"/>
  <c r="K40" i="1"/>
  <c r="K16" i="7" s="1"/>
  <c r="K50" i="1"/>
  <c r="C67" i="1" s="1"/>
  <c r="C13" i="7" s="1"/>
  <c r="F41" i="1"/>
  <c r="I41" i="1"/>
  <c r="A56" i="1"/>
  <c r="B56" i="1" s="1"/>
  <c r="L61" i="1" s="1"/>
  <c r="J41" i="1"/>
  <c r="E55" i="1"/>
  <c r="I62" i="1" s="1"/>
  <c r="I8" i="7" s="1"/>
  <c r="F55" i="1"/>
  <c r="H62" i="1" s="1"/>
  <c r="H8" i="7" s="1"/>
  <c r="H41" i="1"/>
  <c r="I55" i="1"/>
  <c r="E62" i="1" s="1"/>
  <c r="E8" i="7" s="1"/>
  <c r="H55" i="1"/>
  <c r="F62" i="1" s="1"/>
  <c r="F8" i="7" s="1"/>
  <c r="K55" i="1"/>
  <c r="C62" i="1" s="1"/>
  <c r="C8" i="7" s="1"/>
  <c r="G41" i="1"/>
  <c r="J55" i="1"/>
  <c r="D62" i="1" s="1"/>
  <c r="D8" i="7" s="1"/>
  <c r="G55" i="1"/>
  <c r="G62" i="1" s="1"/>
  <c r="G8" i="7" s="1"/>
  <c r="K41" i="1"/>
  <c r="K17" i="7" s="1"/>
  <c r="A71" i="1"/>
  <c r="E5" i="3" l="1"/>
  <c r="L8" i="7"/>
  <c r="G5" i="3"/>
  <c r="G17" i="7"/>
  <c r="B5" i="3"/>
  <c r="F5" i="3"/>
  <c r="F17" i="7"/>
  <c r="C5" i="3"/>
  <c r="C17" i="7"/>
  <c r="J5" i="3"/>
  <c r="J17" i="7"/>
  <c r="H5" i="3"/>
  <c r="H17" i="7"/>
  <c r="I5" i="3"/>
  <c r="I17" i="7"/>
  <c r="D5" i="3"/>
  <c r="D17" i="7"/>
  <c r="C13" i="6"/>
  <c r="A29" i="6"/>
  <c r="B14" i="6"/>
  <c r="C6" i="6"/>
  <c r="D4" i="6"/>
  <c r="C10" i="6"/>
  <c r="D14" i="6"/>
  <c r="C7" i="6"/>
  <c r="B13" i="6"/>
  <c r="B7" i="6"/>
  <c r="D11" i="6"/>
  <c r="B10" i="6"/>
  <c r="C8" i="6"/>
  <c r="C12" i="6"/>
  <c r="C14" i="6"/>
  <c r="D12" i="6"/>
  <c r="B11" i="6"/>
  <c r="C5" i="6"/>
  <c r="B9" i="6"/>
  <c r="B4" i="6"/>
  <c r="D7" i="6"/>
  <c r="D6" i="6"/>
  <c r="D5" i="6"/>
  <c r="B6" i="6"/>
  <c r="B8" i="6"/>
  <c r="B12" i="6"/>
  <c r="D13" i="6"/>
  <c r="C11" i="6"/>
  <c r="D10" i="6"/>
  <c r="D8" i="6"/>
  <c r="C4" i="6"/>
  <c r="B5" i="6"/>
  <c r="D9" i="6"/>
  <c r="C9" i="6"/>
  <c r="E56" i="1"/>
  <c r="I61" i="1" s="1"/>
  <c r="I7" i="7" s="1"/>
  <c r="D56" i="1"/>
  <c r="C56" i="1"/>
  <c r="K61" i="1" s="1"/>
  <c r="K7" i="7" s="1"/>
  <c r="L49" i="1"/>
  <c r="B68" i="1" s="1"/>
  <c r="B14" i="7" s="1"/>
  <c r="L51" i="1"/>
  <c r="B66" i="1" s="1"/>
  <c r="B12" i="7" s="1"/>
  <c r="L47" i="1"/>
  <c r="B70" i="1" s="1"/>
  <c r="B16" i="7" s="1"/>
  <c r="L50" i="1"/>
  <c r="B67" i="1" s="1"/>
  <c r="B13" i="7" s="1"/>
  <c r="L54" i="1"/>
  <c r="B63" i="1" s="1"/>
  <c r="B9" i="7" s="1"/>
  <c r="L48" i="1"/>
  <c r="B69" i="1" s="1"/>
  <c r="B15" i="7" s="1"/>
  <c r="L55" i="1"/>
  <c r="B62" i="1" s="1"/>
  <c r="B8" i="7" s="1"/>
  <c r="L53" i="1"/>
  <c r="B64" i="1" s="1"/>
  <c r="B10" i="7" s="1"/>
  <c r="L46" i="1"/>
  <c r="B71" i="1" s="1"/>
  <c r="B17" i="7" s="1"/>
  <c r="K5" i="3"/>
  <c r="L56" i="1"/>
  <c r="B61" i="1" s="1"/>
  <c r="B7" i="7" s="1"/>
  <c r="F56" i="1"/>
  <c r="L40" i="1"/>
  <c r="L16" i="7" s="1"/>
  <c r="L31" i="1"/>
  <c r="L7" i="7" s="1"/>
  <c r="L35" i="1"/>
  <c r="L11" i="7" s="1"/>
  <c r="L39" i="1"/>
  <c r="L15" i="7" s="1"/>
  <c r="L33" i="1"/>
  <c r="L9" i="7" s="1"/>
  <c r="L36" i="1"/>
  <c r="L12" i="7" s="1"/>
  <c r="L41" i="1"/>
  <c r="L34" i="1"/>
  <c r="L10" i="7" s="1"/>
  <c r="L37" i="1"/>
  <c r="L13" i="7" s="1"/>
  <c r="L38" i="1"/>
  <c r="L14" i="7" s="1"/>
  <c r="J56" i="1"/>
  <c r="D61" i="1" s="1"/>
  <c r="D7" i="7" s="1"/>
  <c r="G56" i="1"/>
  <c r="G61" i="1" s="1"/>
  <c r="G7" i="7" s="1"/>
  <c r="K56" i="1"/>
  <c r="C61" i="1" s="1"/>
  <c r="C7" i="7" s="1"/>
  <c r="H56" i="1"/>
  <c r="F61" i="1" s="1"/>
  <c r="F7" i="7" s="1"/>
  <c r="I56" i="1"/>
  <c r="E61" i="1" s="1"/>
  <c r="E7" i="7" s="1"/>
  <c r="J61" i="1" l="1"/>
  <c r="J7" i="7" s="1"/>
  <c r="H61" i="1"/>
  <c r="H7" i="7" s="1"/>
  <c r="B16" i="6"/>
  <c r="C19" i="6" s="1"/>
  <c r="L17" i="7"/>
  <c r="L5" i="3"/>
  <c r="B29" i="6" l="1"/>
  <c r="D22" i="6"/>
  <c r="C28" i="6"/>
  <c r="D26" i="6"/>
  <c r="C25" i="6"/>
  <c r="C26" i="6"/>
  <c r="B28" i="6"/>
  <c r="C21" i="6"/>
  <c r="D21" i="6"/>
  <c r="B26" i="6"/>
  <c r="B25" i="6"/>
  <c r="D27" i="6"/>
  <c r="B22" i="6"/>
  <c r="B20" i="6"/>
  <c r="C20" i="6"/>
  <c r="C23" i="6"/>
  <c r="D19" i="6"/>
  <c r="B27" i="6"/>
  <c r="C27" i="6"/>
  <c r="C29" i="6"/>
  <c r="C24" i="6"/>
  <c r="C22" i="6"/>
  <c r="D20" i="6"/>
  <c r="B23" i="6"/>
  <c r="B24" i="6"/>
  <c r="B21" i="6"/>
  <c r="D25" i="6"/>
  <c r="D24" i="6"/>
  <c r="D28" i="6"/>
  <c r="B19" i="6"/>
  <c r="D23" i="6"/>
  <c r="D29" i="6"/>
</calcChain>
</file>

<file path=xl/sharedStrings.xml><?xml version="1.0" encoding="utf-8"?>
<sst xmlns="http://schemas.openxmlformats.org/spreadsheetml/2006/main" count="134" uniqueCount="80">
  <si>
    <t>nm</t>
  </si>
  <si>
    <t>Angstroms</t>
  </si>
  <si>
    <t>cm^2 per V sec</t>
  </si>
  <si>
    <t>V</t>
  </si>
  <si>
    <t>Vacuum perm</t>
  </si>
  <si>
    <t>F/cm</t>
  </si>
  <si>
    <t>Angstrom</t>
  </si>
  <si>
    <t>cm</t>
  </si>
  <si>
    <t xml:space="preserve">L: Length </t>
  </si>
  <si>
    <t>W: Width</t>
  </si>
  <si>
    <t xml:space="preserve">Cox: </t>
  </si>
  <si>
    <t>F/cm^2</t>
  </si>
  <si>
    <t>Beta</t>
  </si>
  <si>
    <t>permittivity</t>
  </si>
  <si>
    <t>A/V^2</t>
  </si>
  <si>
    <t>Vgs</t>
  </si>
  <si>
    <t>Computed Parameters</t>
  </si>
  <si>
    <t>Steps in Vgs</t>
  </si>
  <si>
    <t>Vds</t>
  </si>
  <si>
    <t>Steps in Vds</t>
  </si>
  <si>
    <t>NMOS</t>
  </si>
  <si>
    <t>PMOS</t>
  </si>
  <si>
    <t>Ids (uA) - NMOS</t>
  </si>
  <si>
    <t>NMOS Parameter Sets</t>
  </si>
  <si>
    <t>Vmax (aka Vdd)</t>
  </si>
  <si>
    <t>Ids (uA) - PMOS</t>
  </si>
  <si>
    <t>PMOS Inverter</t>
  </si>
  <si>
    <t>Vds - NMOS</t>
  </si>
  <si>
    <t>PMOS Parameter Sets</t>
  </si>
  <si>
    <t>Vds=</t>
  </si>
  <si>
    <t>Vgs (V):</t>
  </si>
  <si>
    <t>Ids (uA):</t>
  </si>
  <si>
    <t>uA/V^2</t>
  </si>
  <si>
    <t>tox: Oxide thickness</t>
  </si>
  <si>
    <t>unitless</t>
  </si>
  <si>
    <t>Parameter</t>
  </si>
  <si>
    <t>Units</t>
  </si>
  <si>
    <t>Parameter Selection:</t>
  </si>
  <si>
    <t>Physical Parameters</t>
  </si>
  <si>
    <t>Process Name</t>
  </si>
  <si>
    <t>W/L Ratio</t>
  </si>
  <si>
    <t>L: Length</t>
  </si>
  <si>
    <r>
      <rPr>
        <sz val="11"/>
        <color theme="1"/>
        <rFont val="Calibri"/>
        <family val="2"/>
      </rPr>
      <t xml:space="preserve">λ: </t>
    </r>
    <r>
      <rPr>
        <sz val="11"/>
        <color theme="1"/>
        <rFont val="Calibri"/>
        <family val="2"/>
        <scheme val="minor"/>
      </rPr>
      <t>Lambda</t>
    </r>
  </si>
  <si>
    <r>
      <t>t</t>
    </r>
    <r>
      <rPr>
        <vertAlign val="subscript"/>
        <sz val="11"/>
        <color theme="1"/>
        <rFont val="Calibri"/>
        <family val="2"/>
        <scheme val="minor"/>
      </rPr>
      <t>ox</t>
    </r>
    <r>
      <rPr>
        <sz val="11"/>
        <color theme="1"/>
        <rFont val="Calibri"/>
        <family val="2"/>
        <scheme val="minor"/>
      </rPr>
      <t>: gate oxide</t>
    </r>
  </si>
  <si>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: mobility</t>
    </r>
  </si>
  <si>
    <r>
      <t>V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: threshold </t>
    </r>
  </si>
  <si>
    <r>
      <rPr>
        <sz val="11"/>
        <color theme="1"/>
        <rFont val="Calibri"/>
        <family val="2"/>
      </rPr>
      <t>ε</t>
    </r>
    <r>
      <rPr>
        <vertAlign val="subscript"/>
        <sz val="11"/>
        <color theme="1"/>
        <rFont val="Calibri"/>
        <family val="2"/>
      </rPr>
      <t>r</t>
    </r>
    <r>
      <rPr>
        <sz val="11"/>
        <color theme="1"/>
        <rFont val="Calibri"/>
        <family val="2"/>
      </rPr>
      <t xml:space="preserve">: </t>
    </r>
    <r>
      <rPr>
        <sz val="11"/>
        <color theme="1"/>
        <rFont val="Calibri"/>
        <family val="2"/>
        <scheme val="minor"/>
      </rPr>
      <t>relative perm thinox</t>
    </r>
  </si>
  <si>
    <t>Vin = Vgs for NMOS</t>
  </si>
  <si>
    <t>Technology Node</t>
  </si>
  <si>
    <t>AMI</t>
  </si>
  <si>
    <t>Book</t>
  </si>
  <si>
    <t>k'</t>
  </si>
  <si>
    <t>TSMC-like</t>
  </si>
  <si>
    <t>ND</t>
  </si>
  <si>
    <t>Attached Sheets do the following:</t>
  </si>
  <si>
    <t>You can enter new device characteristics in the yellow area.</t>
  </si>
  <si>
    <t>The yellow boxes allow you to select a device file from the Parameter Sets sheet (by number)</t>
  </si>
  <si>
    <t>Also you can specify the W/L ratio for both the N and P types</t>
  </si>
  <si>
    <t>The third graph overlays the selected N and P devices as if they were in series as in an inverter</t>
  </si>
  <si>
    <t xml:space="preserve">Enter the value you want in the yellow box. It should be one of those computed in the LongChannel Model </t>
  </si>
  <si>
    <t>VGT = Vdsat</t>
  </si>
  <si>
    <t>R</t>
  </si>
  <si>
    <t>Ohms</t>
  </si>
  <si>
    <t>Ids(ua)</t>
  </si>
  <si>
    <t>4R</t>
  </si>
  <si>
    <t>R/4</t>
  </si>
  <si>
    <t>Max Ids</t>
  </si>
  <si>
    <t>This page computes the Vout vs Vin for an invertor where Vin != 0 or Vdd</t>
  </si>
  <si>
    <t>Is Idp&gt;idn?</t>
  </si>
  <si>
    <t>First see for each Vgs, Vds is Id[ptype]&gt;Id[ntype]</t>
  </si>
  <si>
    <t>Then look for the first Vds where switch from 1 to 0 (or vv) appears</t>
  </si>
  <si>
    <t>HW2.1</t>
  </si>
  <si>
    <r>
      <rPr>
        <b/>
        <sz val="11"/>
        <color rgb="FF0000FF"/>
        <rFont val="Calibri"/>
        <family val="2"/>
        <scheme val="minor"/>
      </rPr>
      <t>Parameter Sets</t>
    </r>
    <r>
      <rPr>
        <sz val="11"/>
        <color theme="1"/>
        <rFont val="Calibri"/>
        <family val="2"/>
        <scheme val="minor"/>
      </rPr>
      <t>: This sheet provides a place to input sets of NMOS and PMOS device characteristics</t>
    </r>
  </si>
  <si>
    <r>
      <rPr>
        <b/>
        <sz val="11"/>
        <color rgb="FF0000FF"/>
        <rFont val="Calibri"/>
        <family val="2"/>
        <scheme val="minor"/>
      </rPr>
      <t>LongChannel Model</t>
    </r>
    <r>
      <rPr>
        <sz val="11"/>
        <color theme="1"/>
        <rFont val="Calibri"/>
        <family val="2"/>
        <scheme val="minor"/>
      </rPr>
      <t>: This sheet implements the ideal Shockly model as described in book chap. 2.2</t>
    </r>
  </si>
  <si>
    <r>
      <rPr>
        <b/>
        <sz val="11"/>
        <color rgb="FF0000FF"/>
        <rFont val="Calibri"/>
        <family val="2"/>
        <scheme val="minor"/>
      </rPr>
      <t>Fixed Vds</t>
    </r>
    <r>
      <rPr>
        <sz val="11"/>
        <color theme="1"/>
        <rFont val="Calibri"/>
        <family val="2"/>
        <scheme val="minor"/>
      </rPr>
      <t>: Graphs Ids vs Vgs for some fixed VDS value</t>
    </r>
  </si>
  <si>
    <t>The graphs start at column O</t>
  </si>
  <si>
    <t>If you use a Vdd different from 1V, adjust the x-axis to have a fixed voltage that you want</t>
  </si>
  <si>
    <r>
      <rPr>
        <b/>
        <sz val="11"/>
        <color rgb="FF0000FF"/>
        <rFont val="Calibri"/>
        <family val="2"/>
        <scheme val="minor"/>
      </rPr>
      <t>Analog Inverter</t>
    </r>
    <r>
      <rPr>
        <sz val="11"/>
        <color theme="1"/>
        <rFont val="Calibri"/>
        <family val="2"/>
        <scheme val="minor"/>
      </rPr>
      <t>: Still under construction</t>
    </r>
  </si>
  <si>
    <r>
      <rPr>
        <b/>
        <sz val="11"/>
        <color rgb="FF0000FF"/>
        <rFont val="Calibri"/>
        <family val="2"/>
        <scheme val="minor"/>
      </rPr>
      <t>R Pullup</t>
    </r>
    <r>
      <rPr>
        <sz val="11"/>
        <color theme="1"/>
        <rFont val="Calibri"/>
        <family val="2"/>
        <scheme val="minor"/>
      </rPr>
      <t>: Specify a pull up resistor,</t>
    </r>
  </si>
  <si>
    <t>And have it, R/$ and 4R drawn on a NMOS curve from LongChannel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</si>
</sst>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1" fontId="0" fillId="0" borderId="1" xfId="0" applyNumberFormat="1" applyFill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/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80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NMOS Device</a:t>
            </a:r>
          </a:p>
        </c:rich>
      </c:tx>
      <c:layout>
        <c:manualLayout>
          <c:xMode val="edge"/>
          <c:yMode val="edge"/>
          <c:x val="0.13826541274817136"/>
          <c:y val="0.14131502927990536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10"/>
          <c:order val="0"/>
          <c:tx>
            <c:strRef>
              <c:f>'LongChannel Model'!$L$30</c:f>
              <c:strCache>
                <c:ptCount val="1"/>
                <c:pt idx="0">
                  <c:v>1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Model'!$L$31:$L$41</c:f>
              <c:numCache>
                <c:formatCode>0.0</c:formatCode>
                <c:ptCount val="11"/>
                <c:pt idx="0">
                  <c:v>0</c:v>
                </c:pt>
                <c:pt idx="1">
                  <c:v>34.186285714285702</c:v>
                </c:pt>
                <c:pt idx="2">
                  <c:v>63.113142857142854</c:v>
                </c:pt>
                <c:pt idx="3">
                  <c:v>86.78057142857142</c:v>
                </c:pt>
                <c:pt idx="4">
                  <c:v>105.18857142857139</c:v>
                </c:pt>
                <c:pt idx="5">
                  <c:v>118.33714285714282</c:v>
                </c:pt>
                <c:pt idx="6">
                  <c:v>126.22628571428568</c:v>
                </c:pt>
                <c:pt idx="7">
                  <c:v>128.85599999999997</c:v>
                </c:pt>
                <c:pt idx="8">
                  <c:v>128.85599999999997</c:v>
                </c:pt>
                <c:pt idx="9">
                  <c:v>128.85599999999997</c:v>
                </c:pt>
                <c:pt idx="10">
                  <c:v>128.85599999999997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'LongChannel Model'!$K$30</c:f>
              <c:strCache>
                <c:ptCount val="1"/>
                <c:pt idx="0">
                  <c:v>0.9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Model'!$K$31:$K$41</c:f>
              <c:numCache>
                <c:formatCode>0.0</c:formatCode>
                <c:ptCount val="11"/>
                <c:pt idx="0">
                  <c:v>0</c:v>
                </c:pt>
                <c:pt idx="1">
                  <c:v>28.926857142857131</c:v>
                </c:pt>
                <c:pt idx="2">
                  <c:v>52.594285714285697</c:v>
                </c:pt>
                <c:pt idx="3">
                  <c:v>71.002285714285691</c:v>
                </c:pt>
                <c:pt idx="4">
                  <c:v>84.150857142857106</c:v>
                </c:pt>
                <c:pt idx="5">
                  <c:v>92.039999999999949</c:v>
                </c:pt>
                <c:pt idx="6">
                  <c:v>94.669714285714221</c:v>
                </c:pt>
                <c:pt idx="7">
                  <c:v>94.669714285714221</c:v>
                </c:pt>
                <c:pt idx="8">
                  <c:v>94.669714285714221</c:v>
                </c:pt>
                <c:pt idx="9">
                  <c:v>94.669714285714221</c:v>
                </c:pt>
                <c:pt idx="10">
                  <c:v>94.669714285714221</c:v>
                </c:pt>
              </c:numCache>
            </c:numRef>
          </c:yVal>
          <c:smooth val="1"/>
        </c:ser>
        <c:ser>
          <c:idx val="8"/>
          <c:order val="2"/>
          <c:tx>
            <c:strRef>
              <c:f>'LongChannel Model'!$J$30</c:f>
              <c:strCache>
                <c:ptCount val="1"/>
                <c:pt idx="0">
                  <c:v>0.8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Model'!$J$31:$J$41</c:f>
              <c:numCache>
                <c:formatCode>0.0</c:formatCode>
                <c:ptCount val="11"/>
                <c:pt idx="0">
                  <c:v>0</c:v>
                </c:pt>
                <c:pt idx="1">
                  <c:v>23.667428571428566</c:v>
                </c:pt>
                <c:pt idx="2">
                  <c:v>42.07542857142856</c:v>
                </c:pt>
                <c:pt idx="3">
                  <c:v>55.22399999999999</c:v>
                </c:pt>
                <c:pt idx="4">
                  <c:v>63.11314285714284</c:v>
                </c:pt>
                <c:pt idx="5">
                  <c:v>65.742857142857119</c:v>
                </c:pt>
                <c:pt idx="6">
                  <c:v>65.742857142857119</c:v>
                </c:pt>
                <c:pt idx="7">
                  <c:v>65.742857142857119</c:v>
                </c:pt>
                <c:pt idx="8">
                  <c:v>65.742857142857119</c:v>
                </c:pt>
                <c:pt idx="9">
                  <c:v>65.742857142857119</c:v>
                </c:pt>
                <c:pt idx="10">
                  <c:v>65.742857142857119</c:v>
                </c:pt>
              </c:numCache>
            </c:numRef>
          </c:yVal>
          <c:smooth val="1"/>
        </c:ser>
        <c:ser>
          <c:idx val="7"/>
          <c:order val="3"/>
          <c:tx>
            <c:strRef>
              <c:f>'LongChannel Model'!$I$30</c:f>
              <c:strCache>
                <c:ptCount val="1"/>
                <c:pt idx="0">
                  <c:v>0.7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Model'!$I$31:$I$41</c:f>
              <c:numCache>
                <c:formatCode>0.0</c:formatCode>
                <c:ptCount val="11"/>
                <c:pt idx="0">
                  <c:v>0</c:v>
                </c:pt>
                <c:pt idx="1">
                  <c:v>18.407999999999998</c:v>
                </c:pt>
                <c:pt idx="2">
                  <c:v>31.55657142857142</c:v>
                </c:pt>
                <c:pt idx="3">
                  <c:v>39.445714285714274</c:v>
                </c:pt>
                <c:pt idx="4">
                  <c:v>42.07542857142856</c:v>
                </c:pt>
                <c:pt idx="5">
                  <c:v>42.07542857142856</c:v>
                </c:pt>
                <c:pt idx="6">
                  <c:v>42.07542857142856</c:v>
                </c:pt>
                <c:pt idx="7">
                  <c:v>42.07542857142856</c:v>
                </c:pt>
                <c:pt idx="8">
                  <c:v>42.07542857142856</c:v>
                </c:pt>
                <c:pt idx="9">
                  <c:v>42.07542857142856</c:v>
                </c:pt>
                <c:pt idx="10">
                  <c:v>42.07542857142856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'LongChannel Model'!$H$30</c:f>
              <c:strCache>
                <c:ptCount val="1"/>
                <c:pt idx="0">
                  <c:v>0.6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Model'!$H$31:$H$41</c:f>
              <c:numCache>
                <c:formatCode>0.0</c:formatCode>
                <c:ptCount val="11"/>
                <c:pt idx="0">
                  <c:v>0</c:v>
                </c:pt>
                <c:pt idx="1">
                  <c:v>13.148571428571428</c:v>
                </c:pt>
                <c:pt idx="2">
                  <c:v>21.037714285714284</c:v>
                </c:pt>
                <c:pt idx="3">
                  <c:v>23.667428571428566</c:v>
                </c:pt>
                <c:pt idx="4">
                  <c:v>23.667428571428566</c:v>
                </c:pt>
                <c:pt idx="5">
                  <c:v>23.667428571428566</c:v>
                </c:pt>
                <c:pt idx="6">
                  <c:v>23.667428571428566</c:v>
                </c:pt>
                <c:pt idx="7">
                  <c:v>23.667428571428566</c:v>
                </c:pt>
                <c:pt idx="8">
                  <c:v>23.667428571428566</c:v>
                </c:pt>
                <c:pt idx="9">
                  <c:v>23.667428571428566</c:v>
                </c:pt>
                <c:pt idx="10">
                  <c:v>23.667428571428566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'LongChannel Model'!$G$30</c:f>
              <c:strCache>
                <c:ptCount val="1"/>
                <c:pt idx="0">
                  <c:v>0.5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Model'!$G$31:$G$41</c:f>
              <c:numCache>
                <c:formatCode>0.0</c:formatCode>
                <c:ptCount val="11"/>
                <c:pt idx="0">
                  <c:v>0</c:v>
                </c:pt>
                <c:pt idx="1">
                  <c:v>7.8891428571428577</c:v>
                </c:pt>
                <c:pt idx="2">
                  <c:v>10.518857142857144</c:v>
                </c:pt>
                <c:pt idx="3">
                  <c:v>10.518857142857144</c:v>
                </c:pt>
                <c:pt idx="4">
                  <c:v>10.518857142857144</c:v>
                </c:pt>
                <c:pt idx="5">
                  <c:v>10.518857142857144</c:v>
                </c:pt>
                <c:pt idx="6">
                  <c:v>10.518857142857144</c:v>
                </c:pt>
                <c:pt idx="7">
                  <c:v>10.518857142857144</c:v>
                </c:pt>
                <c:pt idx="8">
                  <c:v>10.518857142857144</c:v>
                </c:pt>
                <c:pt idx="9">
                  <c:v>10.518857142857144</c:v>
                </c:pt>
                <c:pt idx="10">
                  <c:v>10.518857142857144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'LongChannel Model'!$F$30</c:f>
              <c:strCache>
                <c:ptCount val="1"/>
                <c:pt idx="0">
                  <c:v>0.4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Model'!$F$31:$F$41</c:f>
              <c:numCache>
                <c:formatCode>0.0</c:formatCode>
                <c:ptCount val="11"/>
                <c:pt idx="0">
                  <c:v>0</c:v>
                </c:pt>
                <c:pt idx="1">
                  <c:v>2.6297142857142872</c:v>
                </c:pt>
                <c:pt idx="2">
                  <c:v>2.6297142857142872</c:v>
                </c:pt>
                <c:pt idx="3">
                  <c:v>2.6297142857142872</c:v>
                </c:pt>
                <c:pt idx="4">
                  <c:v>2.6297142857142872</c:v>
                </c:pt>
                <c:pt idx="5">
                  <c:v>2.6297142857142872</c:v>
                </c:pt>
                <c:pt idx="6">
                  <c:v>2.6297142857142872</c:v>
                </c:pt>
                <c:pt idx="7">
                  <c:v>2.6297142857142872</c:v>
                </c:pt>
                <c:pt idx="8">
                  <c:v>2.6297142857142872</c:v>
                </c:pt>
                <c:pt idx="9">
                  <c:v>2.6297142857142872</c:v>
                </c:pt>
                <c:pt idx="10">
                  <c:v>2.6297142857142872</c:v>
                </c:pt>
              </c:numCache>
            </c:numRef>
          </c:yVal>
          <c:smooth val="1"/>
        </c:ser>
        <c:ser>
          <c:idx val="3"/>
          <c:order val="7"/>
          <c:tx>
            <c:strRef>
              <c:f>'LongChannel Model'!$E$30</c:f>
              <c:strCache>
                <c:ptCount val="1"/>
                <c:pt idx="0">
                  <c:v>0.3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Model'!$E$31:$E$41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8"/>
          <c:tx>
            <c:strRef>
              <c:f>'LongChannel Model'!$D$30</c:f>
              <c:strCache>
                <c:ptCount val="1"/>
                <c:pt idx="0">
                  <c:v>0.2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Model'!$D$31:$D$41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9"/>
          <c:tx>
            <c:strRef>
              <c:f>'LongChannel Model'!$C$30</c:f>
              <c:strCache>
                <c:ptCount val="1"/>
                <c:pt idx="0">
                  <c:v>0.1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Model'!$C$31:$C$41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0"/>
          <c:order val="10"/>
          <c:tx>
            <c:strRef>
              <c:f>'LongChannel Model'!$B$30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Model'!$B$31:$B$41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93664"/>
        <c:axId val="88204032"/>
      </c:scatterChart>
      <c:valAx>
        <c:axId val="88193664"/>
        <c:scaling>
          <c:orientation val="minMax"/>
          <c:max val="1"/>
        </c:scaling>
        <c:delete val="0"/>
        <c:axPos val="b"/>
        <c:majorGridlines>
          <c:spPr>
            <a:ln w="19050"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Vds (Volts)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204032"/>
        <c:crosses val="autoZero"/>
        <c:crossBetween val="midCat"/>
      </c:valAx>
      <c:valAx>
        <c:axId val="88204032"/>
        <c:scaling>
          <c:orientation val="minMax"/>
        </c:scaling>
        <c:delete val="0"/>
        <c:axPos val="l"/>
        <c:majorGridlines>
          <c:spPr>
            <a:ln w="19050"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Ids (uA)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881936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PMOS Device</a:t>
            </a:r>
          </a:p>
        </c:rich>
      </c:tx>
      <c:layout>
        <c:manualLayout>
          <c:xMode val="edge"/>
          <c:yMode val="edge"/>
          <c:x val="0.55870743211371687"/>
          <c:y val="0.7656477438136827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819170765329481"/>
          <c:y val="0.17018670701096861"/>
          <c:w val="0.75927287782331421"/>
          <c:h val="0.750453300324358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'LongChannel Model'!$B$45</c:f>
              <c:strCache>
                <c:ptCount val="1"/>
                <c:pt idx="0">
                  <c:v>0.00</c:v>
                </c:pt>
              </c:strCache>
            </c:strRef>
          </c:tx>
          <c:xVal>
            <c:numRef>
              <c:f>'LongChannel Model'!$A$46:$A$56</c:f>
              <c:numCache>
                <c:formatCode>General</c:formatCode>
                <c:ptCount val="11"/>
                <c:pt idx="0">
                  <c:v>0</c:v>
                </c:pt>
                <c:pt idx="1">
                  <c:v>-0.1</c:v>
                </c:pt>
                <c:pt idx="2">
                  <c:v>-0.2</c:v>
                </c:pt>
                <c:pt idx="3">
                  <c:v>-0.30000000000000004</c:v>
                </c:pt>
                <c:pt idx="4">
                  <c:v>-0.4</c:v>
                </c:pt>
                <c:pt idx="5">
                  <c:v>-0.5</c:v>
                </c:pt>
                <c:pt idx="6">
                  <c:v>-0.6</c:v>
                </c:pt>
                <c:pt idx="7">
                  <c:v>-0.7</c:v>
                </c:pt>
                <c:pt idx="8">
                  <c:v>-0.79999999999999993</c:v>
                </c:pt>
                <c:pt idx="9">
                  <c:v>-0.89999999999999991</c:v>
                </c:pt>
                <c:pt idx="10">
                  <c:v>-0.99999999999999989</c:v>
                </c:pt>
              </c:numCache>
            </c:numRef>
          </c:xVal>
          <c:yVal>
            <c:numRef>
              <c:f>'LongChannel Model'!$B$46:$B$56</c:f>
              <c:numCache>
                <c:formatCode>0.0</c:formatCode>
                <c:ptCount val="11"/>
                <c:pt idx="0" formatCode="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'LongChannel Model'!$C$45</c:f>
              <c:strCache>
                <c:ptCount val="1"/>
                <c:pt idx="0">
                  <c:v>-0.10</c:v>
                </c:pt>
              </c:strCache>
            </c:strRef>
          </c:tx>
          <c:xVal>
            <c:numRef>
              <c:f>'LongChannel Model'!$A$46:$A$56</c:f>
              <c:numCache>
                <c:formatCode>General</c:formatCode>
                <c:ptCount val="11"/>
                <c:pt idx="0">
                  <c:v>0</c:v>
                </c:pt>
                <c:pt idx="1">
                  <c:v>-0.1</c:v>
                </c:pt>
                <c:pt idx="2">
                  <c:v>-0.2</c:v>
                </c:pt>
                <c:pt idx="3">
                  <c:v>-0.30000000000000004</c:v>
                </c:pt>
                <c:pt idx="4">
                  <c:v>-0.4</c:v>
                </c:pt>
                <c:pt idx="5">
                  <c:v>-0.5</c:v>
                </c:pt>
                <c:pt idx="6">
                  <c:v>-0.6</c:v>
                </c:pt>
                <c:pt idx="7">
                  <c:v>-0.7</c:v>
                </c:pt>
                <c:pt idx="8">
                  <c:v>-0.79999999999999993</c:v>
                </c:pt>
                <c:pt idx="9">
                  <c:v>-0.89999999999999991</c:v>
                </c:pt>
                <c:pt idx="10">
                  <c:v>-0.99999999999999989</c:v>
                </c:pt>
              </c:numCache>
            </c:numRef>
          </c:xVal>
          <c:yVal>
            <c:numRef>
              <c:f>'LongChannel Model'!$C$46:$C$56</c:f>
              <c:numCache>
                <c:formatCode>0.0</c:formatCode>
                <c:ptCount val="11"/>
                <c:pt idx="0" formatCode="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'LongChannel Model'!$D$45</c:f>
              <c:strCache>
                <c:ptCount val="1"/>
                <c:pt idx="0">
                  <c:v>-0.20</c:v>
                </c:pt>
              </c:strCache>
            </c:strRef>
          </c:tx>
          <c:xVal>
            <c:numRef>
              <c:f>'LongChannel Model'!$A$46:$A$56</c:f>
              <c:numCache>
                <c:formatCode>General</c:formatCode>
                <c:ptCount val="11"/>
                <c:pt idx="0">
                  <c:v>0</c:v>
                </c:pt>
                <c:pt idx="1">
                  <c:v>-0.1</c:v>
                </c:pt>
                <c:pt idx="2">
                  <c:v>-0.2</c:v>
                </c:pt>
                <c:pt idx="3">
                  <c:v>-0.30000000000000004</c:v>
                </c:pt>
                <c:pt idx="4">
                  <c:v>-0.4</c:v>
                </c:pt>
                <c:pt idx="5">
                  <c:v>-0.5</c:v>
                </c:pt>
                <c:pt idx="6">
                  <c:v>-0.6</c:v>
                </c:pt>
                <c:pt idx="7">
                  <c:v>-0.7</c:v>
                </c:pt>
                <c:pt idx="8">
                  <c:v>-0.79999999999999993</c:v>
                </c:pt>
                <c:pt idx="9">
                  <c:v>-0.89999999999999991</c:v>
                </c:pt>
                <c:pt idx="10">
                  <c:v>-0.99999999999999989</c:v>
                </c:pt>
              </c:numCache>
            </c:numRef>
          </c:xVal>
          <c:yVal>
            <c:numRef>
              <c:f>'LongChannel Model'!$D$46:$D$56</c:f>
              <c:numCache>
                <c:formatCode>0.0</c:formatCode>
                <c:ptCount val="11"/>
                <c:pt idx="0" formatCode="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'LongChannel Model'!$E$45</c:f>
              <c:strCache>
                <c:ptCount val="1"/>
                <c:pt idx="0">
                  <c:v>-0.30</c:v>
                </c:pt>
              </c:strCache>
            </c:strRef>
          </c:tx>
          <c:xVal>
            <c:numRef>
              <c:f>'LongChannel Model'!$A$46:$A$56</c:f>
              <c:numCache>
                <c:formatCode>General</c:formatCode>
                <c:ptCount val="11"/>
                <c:pt idx="0">
                  <c:v>0</c:v>
                </c:pt>
                <c:pt idx="1">
                  <c:v>-0.1</c:v>
                </c:pt>
                <c:pt idx="2">
                  <c:v>-0.2</c:v>
                </c:pt>
                <c:pt idx="3">
                  <c:v>-0.30000000000000004</c:v>
                </c:pt>
                <c:pt idx="4">
                  <c:v>-0.4</c:v>
                </c:pt>
                <c:pt idx="5">
                  <c:v>-0.5</c:v>
                </c:pt>
                <c:pt idx="6">
                  <c:v>-0.6</c:v>
                </c:pt>
                <c:pt idx="7">
                  <c:v>-0.7</c:v>
                </c:pt>
                <c:pt idx="8">
                  <c:v>-0.79999999999999993</c:v>
                </c:pt>
                <c:pt idx="9">
                  <c:v>-0.89999999999999991</c:v>
                </c:pt>
                <c:pt idx="10">
                  <c:v>-0.99999999999999989</c:v>
                </c:pt>
              </c:numCache>
            </c:numRef>
          </c:xVal>
          <c:yVal>
            <c:numRef>
              <c:f>'LongChannel Model'!$E$46:$E$56</c:f>
              <c:numCache>
                <c:formatCode>0.0</c:formatCode>
                <c:ptCount val="11"/>
                <c:pt idx="0" formatCode="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'LongChannel Model'!$F$45</c:f>
              <c:strCache>
                <c:ptCount val="1"/>
                <c:pt idx="0">
                  <c:v>-0.40</c:v>
                </c:pt>
              </c:strCache>
            </c:strRef>
          </c:tx>
          <c:xVal>
            <c:numRef>
              <c:f>'LongChannel Model'!$A$46:$A$56</c:f>
              <c:numCache>
                <c:formatCode>General</c:formatCode>
                <c:ptCount val="11"/>
                <c:pt idx="0">
                  <c:v>0</c:v>
                </c:pt>
                <c:pt idx="1">
                  <c:v>-0.1</c:v>
                </c:pt>
                <c:pt idx="2">
                  <c:v>-0.2</c:v>
                </c:pt>
                <c:pt idx="3">
                  <c:v>-0.30000000000000004</c:v>
                </c:pt>
                <c:pt idx="4">
                  <c:v>-0.4</c:v>
                </c:pt>
                <c:pt idx="5">
                  <c:v>-0.5</c:v>
                </c:pt>
                <c:pt idx="6">
                  <c:v>-0.6</c:v>
                </c:pt>
                <c:pt idx="7">
                  <c:v>-0.7</c:v>
                </c:pt>
                <c:pt idx="8">
                  <c:v>-0.79999999999999993</c:v>
                </c:pt>
                <c:pt idx="9">
                  <c:v>-0.89999999999999991</c:v>
                </c:pt>
                <c:pt idx="10">
                  <c:v>-0.99999999999999989</c:v>
                </c:pt>
              </c:numCache>
            </c:numRef>
          </c:xVal>
          <c:yVal>
            <c:numRef>
              <c:f>'LongChannel Model'!$F$46:$F$56</c:f>
              <c:numCache>
                <c:formatCode>0.0</c:formatCode>
                <c:ptCount val="11"/>
                <c:pt idx="0" formatCode="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'LongChannel Model'!$G$45</c:f>
              <c:strCache>
                <c:ptCount val="1"/>
                <c:pt idx="0">
                  <c:v>-0.50</c:v>
                </c:pt>
              </c:strCache>
            </c:strRef>
          </c:tx>
          <c:xVal>
            <c:numRef>
              <c:f>'LongChannel Model'!$A$46:$A$56</c:f>
              <c:numCache>
                <c:formatCode>General</c:formatCode>
                <c:ptCount val="11"/>
                <c:pt idx="0">
                  <c:v>0</c:v>
                </c:pt>
                <c:pt idx="1">
                  <c:v>-0.1</c:v>
                </c:pt>
                <c:pt idx="2">
                  <c:v>-0.2</c:v>
                </c:pt>
                <c:pt idx="3">
                  <c:v>-0.30000000000000004</c:v>
                </c:pt>
                <c:pt idx="4">
                  <c:v>-0.4</c:v>
                </c:pt>
                <c:pt idx="5">
                  <c:v>-0.5</c:v>
                </c:pt>
                <c:pt idx="6">
                  <c:v>-0.6</c:v>
                </c:pt>
                <c:pt idx="7">
                  <c:v>-0.7</c:v>
                </c:pt>
                <c:pt idx="8">
                  <c:v>-0.79999999999999993</c:v>
                </c:pt>
                <c:pt idx="9">
                  <c:v>-0.89999999999999991</c:v>
                </c:pt>
                <c:pt idx="10">
                  <c:v>-0.99999999999999989</c:v>
                </c:pt>
              </c:numCache>
            </c:numRef>
          </c:xVal>
          <c:yVal>
            <c:numRef>
              <c:f>'LongChannel Model'!$G$46:$G$56</c:f>
              <c:numCache>
                <c:formatCode>0.0</c:formatCode>
                <c:ptCount val="11"/>
                <c:pt idx="0" formatCode="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'LongChannel Model'!$H$45</c:f>
              <c:strCache>
                <c:ptCount val="1"/>
                <c:pt idx="0">
                  <c:v>-0.60</c:v>
                </c:pt>
              </c:strCache>
            </c:strRef>
          </c:tx>
          <c:xVal>
            <c:numRef>
              <c:f>'LongChannel Model'!$A$46:$A$56</c:f>
              <c:numCache>
                <c:formatCode>General</c:formatCode>
                <c:ptCount val="11"/>
                <c:pt idx="0">
                  <c:v>0</c:v>
                </c:pt>
                <c:pt idx="1">
                  <c:v>-0.1</c:v>
                </c:pt>
                <c:pt idx="2">
                  <c:v>-0.2</c:v>
                </c:pt>
                <c:pt idx="3">
                  <c:v>-0.30000000000000004</c:v>
                </c:pt>
                <c:pt idx="4">
                  <c:v>-0.4</c:v>
                </c:pt>
                <c:pt idx="5">
                  <c:v>-0.5</c:v>
                </c:pt>
                <c:pt idx="6">
                  <c:v>-0.6</c:v>
                </c:pt>
                <c:pt idx="7">
                  <c:v>-0.7</c:v>
                </c:pt>
                <c:pt idx="8">
                  <c:v>-0.79999999999999993</c:v>
                </c:pt>
                <c:pt idx="9">
                  <c:v>-0.89999999999999991</c:v>
                </c:pt>
                <c:pt idx="10">
                  <c:v>-0.99999999999999989</c:v>
                </c:pt>
              </c:numCache>
            </c:numRef>
          </c:xVal>
          <c:yVal>
            <c:numRef>
              <c:f>'LongChannel Model'!$H$46:$H$56</c:f>
              <c:numCache>
                <c:formatCode>0.0</c:formatCode>
                <c:ptCount val="11"/>
                <c:pt idx="0" formatCode="0.00">
                  <c:v>0</c:v>
                </c:pt>
                <c:pt idx="1">
                  <c:v>-6.5742857142857138</c:v>
                </c:pt>
                <c:pt idx="2">
                  <c:v>-10.518857142857142</c:v>
                </c:pt>
                <c:pt idx="3">
                  <c:v>-11.833714285714283</c:v>
                </c:pt>
                <c:pt idx="4">
                  <c:v>-11.833714285714283</c:v>
                </c:pt>
                <c:pt idx="5">
                  <c:v>-11.833714285714283</c:v>
                </c:pt>
                <c:pt idx="6">
                  <c:v>-11.833714285714283</c:v>
                </c:pt>
                <c:pt idx="7">
                  <c:v>-11.833714285714283</c:v>
                </c:pt>
                <c:pt idx="8">
                  <c:v>-11.833714285714283</c:v>
                </c:pt>
                <c:pt idx="9">
                  <c:v>-11.833714285714283</c:v>
                </c:pt>
                <c:pt idx="10">
                  <c:v>-11.833714285714283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'LongChannel Model'!$I$45</c:f>
              <c:strCache>
                <c:ptCount val="1"/>
                <c:pt idx="0">
                  <c:v>-0.70</c:v>
                </c:pt>
              </c:strCache>
            </c:strRef>
          </c:tx>
          <c:xVal>
            <c:numRef>
              <c:f>'LongChannel Model'!$A$46:$A$56</c:f>
              <c:numCache>
                <c:formatCode>General</c:formatCode>
                <c:ptCount val="11"/>
                <c:pt idx="0">
                  <c:v>0</c:v>
                </c:pt>
                <c:pt idx="1">
                  <c:v>-0.1</c:v>
                </c:pt>
                <c:pt idx="2">
                  <c:v>-0.2</c:v>
                </c:pt>
                <c:pt idx="3">
                  <c:v>-0.30000000000000004</c:v>
                </c:pt>
                <c:pt idx="4">
                  <c:v>-0.4</c:v>
                </c:pt>
                <c:pt idx="5">
                  <c:v>-0.5</c:v>
                </c:pt>
                <c:pt idx="6">
                  <c:v>-0.6</c:v>
                </c:pt>
                <c:pt idx="7">
                  <c:v>-0.7</c:v>
                </c:pt>
                <c:pt idx="8">
                  <c:v>-0.79999999999999993</c:v>
                </c:pt>
                <c:pt idx="9">
                  <c:v>-0.89999999999999991</c:v>
                </c:pt>
                <c:pt idx="10">
                  <c:v>-0.99999999999999989</c:v>
                </c:pt>
              </c:numCache>
            </c:numRef>
          </c:xVal>
          <c:yVal>
            <c:numRef>
              <c:f>'LongChannel Model'!$I$46:$I$56</c:f>
              <c:numCache>
                <c:formatCode>0.0</c:formatCode>
                <c:ptCount val="11"/>
                <c:pt idx="0" formatCode="0.00">
                  <c:v>0</c:v>
                </c:pt>
                <c:pt idx="1">
                  <c:v>-9.2039999999999988</c:v>
                </c:pt>
                <c:pt idx="2">
                  <c:v>-15.77828571428571</c:v>
                </c:pt>
                <c:pt idx="3">
                  <c:v>-19.722857142857137</c:v>
                </c:pt>
                <c:pt idx="4">
                  <c:v>-21.03771428571428</c:v>
                </c:pt>
                <c:pt idx="5">
                  <c:v>-21.03771428571428</c:v>
                </c:pt>
                <c:pt idx="6">
                  <c:v>-21.03771428571428</c:v>
                </c:pt>
                <c:pt idx="7">
                  <c:v>-21.03771428571428</c:v>
                </c:pt>
                <c:pt idx="8">
                  <c:v>-21.03771428571428</c:v>
                </c:pt>
                <c:pt idx="9">
                  <c:v>-21.03771428571428</c:v>
                </c:pt>
                <c:pt idx="10">
                  <c:v>-21.03771428571428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'LongChannel Model'!$J$45</c:f>
              <c:strCache>
                <c:ptCount val="1"/>
                <c:pt idx="0">
                  <c:v>-0.80</c:v>
                </c:pt>
              </c:strCache>
            </c:strRef>
          </c:tx>
          <c:xVal>
            <c:numRef>
              <c:f>'LongChannel Model'!$A$46:$A$56</c:f>
              <c:numCache>
                <c:formatCode>General</c:formatCode>
                <c:ptCount val="11"/>
                <c:pt idx="0">
                  <c:v>0</c:v>
                </c:pt>
                <c:pt idx="1">
                  <c:v>-0.1</c:v>
                </c:pt>
                <c:pt idx="2">
                  <c:v>-0.2</c:v>
                </c:pt>
                <c:pt idx="3">
                  <c:v>-0.30000000000000004</c:v>
                </c:pt>
                <c:pt idx="4">
                  <c:v>-0.4</c:v>
                </c:pt>
                <c:pt idx="5">
                  <c:v>-0.5</c:v>
                </c:pt>
                <c:pt idx="6">
                  <c:v>-0.6</c:v>
                </c:pt>
                <c:pt idx="7">
                  <c:v>-0.7</c:v>
                </c:pt>
                <c:pt idx="8">
                  <c:v>-0.79999999999999993</c:v>
                </c:pt>
                <c:pt idx="9">
                  <c:v>-0.89999999999999991</c:v>
                </c:pt>
                <c:pt idx="10">
                  <c:v>-0.99999999999999989</c:v>
                </c:pt>
              </c:numCache>
            </c:numRef>
          </c:xVal>
          <c:yVal>
            <c:numRef>
              <c:f>'LongChannel Model'!$J$46:$J$56</c:f>
              <c:numCache>
                <c:formatCode>0.0</c:formatCode>
                <c:ptCount val="11"/>
                <c:pt idx="0" formatCode="0.00">
                  <c:v>0</c:v>
                </c:pt>
                <c:pt idx="1">
                  <c:v>-11.833714285714283</c:v>
                </c:pt>
                <c:pt idx="2">
                  <c:v>-21.03771428571428</c:v>
                </c:pt>
                <c:pt idx="3">
                  <c:v>-27.611999999999995</c:v>
                </c:pt>
                <c:pt idx="4">
                  <c:v>-31.55657142857142</c:v>
                </c:pt>
                <c:pt idx="5">
                  <c:v>-32.871428571428559</c:v>
                </c:pt>
                <c:pt idx="6">
                  <c:v>-32.871428571428559</c:v>
                </c:pt>
                <c:pt idx="7">
                  <c:v>-32.871428571428559</c:v>
                </c:pt>
                <c:pt idx="8">
                  <c:v>-32.871428571428559</c:v>
                </c:pt>
                <c:pt idx="9">
                  <c:v>-32.871428571428559</c:v>
                </c:pt>
                <c:pt idx="10">
                  <c:v>-32.871428571428559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'LongChannel Model'!$K$45</c:f>
              <c:strCache>
                <c:ptCount val="1"/>
                <c:pt idx="0">
                  <c:v>-0.90</c:v>
                </c:pt>
              </c:strCache>
            </c:strRef>
          </c:tx>
          <c:xVal>
            <c:numRef>
              <c:f>'LongChannel Model'!$A$46:$A$56</c:f>
              <c:numCache>
                <c:formatCode>General</c:formatCode>
                <c:ptCount val="11"/>
                <c:pt idx="0">
                  <c:v>0</c:v>
                </c:pt>
                <c:pt idx="1">
                  <c:v>-0.1</c:v>
                </c:pt>
                <c:pt idx="2">
                  <c:v>-0.2</c:v>
                </c:pt>
                <c:pt idx="3">
                  <c:v>-0.30000000000000004</c:v>
                </c:pt>
                <c:pt idx="4">
                  <c:v>-0.4</c:v>
                </c:pt>
                <c:pt idx="5">
                  <c:v>-0.5</c:v>
                </c:pt>
                <c:pt idx="6">
                  <c:v>-0.6</c:v>
                </c:pt>
                <c:pt idx="7">
                  <c:v>-0.7</c:v>
                </c:pt>
                <c:pt idx="8">
                  <c:v>-0.79999999999999993</c:v>
                </c:pt>
                <c:pt idx="9">
                  <c:v>-0.89999999999999991</c:v>
                </c:pt>
                <c:pt idx="10">
                  <c:v>-0.99999999999999989</c:v>
                </c:pt>
              </c:numCache>
            </c:numRef>
          </c:xVal>
          <c:yVal>
            <c:numRef>
              <c:f>'LongChannel Model'!$K$46:$K$56</c:f>
              <c:numCache>
                <c:formatCode>0.0</c:formatCode>
                <c:ptCount val="11"/>
                <c:pt idx="0" formatCode="0.00">
                  <c:v>0</c:v>
                </c:pt>
                <c:pt idx="1">
                  <c:v>-14.463428571428565</c:v>
                </c:pt>
                <c:pt idx="2">
                  <c:v>-26.297142857142848</c:v>
                </c:pt>
                <c:pt idx="3">
                  <c:v>-35.501142857142845</c:v>
                </c:pt>
                <c:pt idx="4">
                  <c:v>-42.075428571428553</c:v>
                </c:pt>
                <c:pt idx="5">
                  <c:v>-46.019999999999975</c:v>
                </c:pt>
                <c:pt idx="6">
                  <c:v>-47.334857142857111</c:v>
                </c:pt>
                <c:pt idx="7">
                  <c:v>-47.334857142857111</c:v>
                </c:pt>
                <c:pt idx="8">
                  <c:v>-47.334857142857111</c:v>
                </c:pt>
                <c:pt idx="9">
                  <c:v>-47.334857142857111</c:v>
                </c:pt>
                <c:pt idx="10">
                  <c:v>-47.334857142857111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'LongChannel Model'!$L$45</c:f>
              <c:strCache>
                <c:ptCount val="1"/>
                <c:pt idx="0">
                  <c:v>-1.00</c:v>
                </c:pt>
              </c:strCache>
            </c:strRef>
          </c:tx>
          <c:xVal>
            <c:numRef>
              <c:f>'LongChannel Model'!$A$46:$A$56</c:f>
              <c:numCache>
                <c:formatCode>General</c:formatCode>
                <c:ptCount val="11"/>
                <c:pt idx="0">
                  <c:v>0</c:v>
                </c:pt>
                <c:pt idx="1">
                  <c:v>-0.1</c:v>
                </c:pt>
                <c:pt idx="2">
                  <c:v>-0.2</c:v>
                </c:pt>
                <c:pt idx="3">
                  <c:v>-0.30000000000000004</c:v>
                </c:pt>
                <c:pt idx="4">
                  <c:v>-0.4</c:v>
                </c:pt>
                <c:pt idx="5">
                  <c:v>-0.5</c:v>
                </c:pt>
                <c:pt idx="6">
                  <c:v>-0.6</c:v>
                </c:pt>
                <c:pt idx="7">
                  <c:v>-0.7</c:v>
                </c:pt>
                <c:pt idx="8">
                  <c:v>-0.79999999999999993</c:v>
                </c:pt>
                <c:pt idx="9">
                  <c:v>-0.89999999999999991</c:v>
                </c:pt>
                <c:pt idx="10">
                  <c:v>-0.99999999999999989</c:v>
                </c:pt>
              </c:numCache>
            </c:numRef>
          </c:xVal>
          <c:yVal>
            <c:numRef>
              <c:f>'LongChannel Model'!$L$46:$L$56</c:f>
              <c:numCache>
                <c:formatCode>0.0</c:formatCode>
                <c:ptCount val="11"/>
                <c:pt idx="0" formatCode="0.00">
                  <c:v>0</c:v>
                </c:pt>
                <c:pt idx="1">
                  <c:v>-17.093142857142851</c:v>
                </c:pt>
                <c:pt idx="2">
                  <c:v>-31.556571428571427</c:v>
                </c:pt>
                <c:pt idx="3">
                  <c:v>-43.39028571428571</c:v>
                </c:pt>
                <c:pt idx="4">
                  <c:v>-52.594285714285697</c:v>
                </c:pt>
                <c:pt idx="5">
                  <c:v>-59.168571428571411</c:v>
                </c:pt>
                <c:pt idx="6">
                  <c:v>-63.11314285714284</c:v>
                </c:pt>
                <c:pt idx="7">
                  <c:v>-64.427999999999983</c:v>
                </c:pt>
                <c:pt idx="8">
                  <c:v>-64.427999999999983</c:v>
                </c:pt>
                <c:pt idx="9">
                  <c:v>-64.427999999999983</c:v>
                </c:pt>
                <c:pt idx="10">
                  <c:v>-64.427999999999983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05824"/>
        <c:axId val="88607744"/>
      </c:scatterChart>
      <c:valAx>
        <c:axId val="88605824"/>
        <c:scaling>
          <c:orientation val="minMax"/>
          <c:min val="-1"/>
        </c:scaling>
        <c:delete val="0"/>
        <c:axPos val="b"/>
        <c:majorGridlines>
          <c:spPr>
            <a:ln w="19050">
              <a:solidFill>
                <a:schemeClr val="tx1"/>
              </a:solidFill>
            </a:ln>
          </c:spPr>
        </c:majorGridlines>
        <c:minorGridlines/>
        <c:title>
          <c:tx>
            <c:rich>
              <a:bodyPr anchor="t" anchorCtr="1"/>
              <a:lstStyle/>
              <a:p>
                <a:pPr>
                  <a:defRPr sz="1400"/>
                </a:pPr>
                <a:r>
                  <a:rPr lang="en-US" sz="1400"/>
                  <a:t>Vds (Volts)</a:t>
                </a:r>
              </a:p>
            </c:rich>
          </c:tx>
          <c:layout>
            <c:manualLayout>
              <c:xMode val="edge"/>
              <c:yMode val="edge"/>
              <c:x val="0.42598607712726944"/>
              <c:y val="7.1133193503650466E-2"/>
            </c:manualLayout>
          </c:layout>
          <c:overlay val="0"/>
        </c:title>
        <c:numFmt formatCode="General" sourceLinked="1"/>
        <c:majorTickMark val="out"/>
        <c:minorTickMark val="none"/>
        <c:tickLblPos val="high"/>
        <c:crossAx val="88607744"/>
        <c:crosses val="autoZero"/>
        <c:crossBetween val="midCat"/>
      </c:valAx>
      <c:valAx>
        <c:axId val="88607744"/>
        <c:scaling>
          <c:orientation val="minMax"/>
          <c:max val="0"/>
        </c:scaling>
        <c:delete val="0"/>
        <c:axPos val="l"/>
        <c:majorGridlines>
          <c:spPr>
            <a:ln w="19050"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Ids (uA)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high"/>
        <c:crossAx val="88605824"/>
        <c:crosses val="autoZero"/>
        <c:crossBetween val="midCat"/>
      </c:valAx>
      <c:spPr>
        <a:ln w="19050">
          <a:solidFill>
            <a:schemeClr val="tx1"/>
          </a:solidFill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Inverter </a:t>
            </a:r>
          </a:p>
        </c:rich>
      </c:tx>
      <c:layout>
        <c:manualLayout>
          <c:xMode val="edge"/>
          <c:yMode val="edge"/>
          <c:x val="0.38140547478587122"/>
          <c:y val="0.13406194616547723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10"/>
          <c:order val="0"/>
          <c:tx>
            <c:strRef>
              <c:f>'LongChannel Model'!$L$30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pPr>
              <a:solidFill>
                <a:schemeClr val="accent5"/>
              </a:solidFill>
            </c:spPr>
          </c:marker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Model'!$L$31:$L$41</c:f>
              <c:numCache>
                <c:formatCode>0.0</c:formatCode>
                <c:ptCount val="11"/>
                <c:pt idx="0">
                  <c:v>0</c:v>
                </c:pt>
                <c:pt idx="1">
                  <c:v>34.186285714285702</c:v>
                </c:pt>
                <c:pt idx="2">
                  <c:v>63.113142857142854</c:v>
                </c:pt>
                <c:pt idx="3">
                  <c:v>86.78057142857142</c:v>
                </c:pt>
                <c:pt idx="4">
                  <c:v>105.18857142857139</c:v>
                </c:pt>
                <c:pt idx="5">
                  <c:v>118.33714285714282</c:v>
                </c:pt>
                <c:pt idx="6">
                  <c:v>126.22628571428568</c:v>
                </c:pt>
                <c:pt idx="7">
                  <c:v>128.85599999999997</c:v>
                </c:pt>
                <c:pt idx="8">
                  <c:v>128.85599999999997</c:v>
                </c:pt>
                <c:pt idx="9">
                  <c:v>128.85599999999997</c:v>
                </c:pt>
                <c:pt idx="10">
                  <c:v>128.85599999999997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'LongChannel Model'!$K$30</c:f>
              <c:strCache>
                <c:ptCount val="1"/>
                <c:pt idx="0">
                  <c:v>0.9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Model'!$K$31:$K$41</c:f>
              <c:numCache>
                <c:formatCode>0.0</c:formatCode>
                <c:ptCount val="11"/>
                <c:pt idx="0">
                  <c:v>0</c:v>
                </c:pt>
                <c:pt idx="1">
                  <c:v>28.926857142857131</c:v>
                </c:pt>
                <c:pt idx="2">
                  <c:v>52.594285714285697</c:v>
                </c:pt>
                <c:pt idx="3">
                  <c:v>71.002285714285691</c:v>
                </c:pt>
                <c:pt idx="4">
                  <c:v>84.150857142857106</c:v>
                </c:pt>
                <c:pt idx="5">
                  <c:v>92.039999999999949</c:v>
                </c:pt>
                <c:pt idx="6">
                  <c:v>94.669714285714221</c:v>
                </c:pt>
                <c:pt idx="7">
                  <c:v>94.669714285714221</c:v>
                </c:pt>
                <c:pt idx="8">
                  <c:v>94.669714285714221</c:v>
                </c:pt>
                <c:pt idx="9">
                  <c:v>94.669714285714221</c:v>
                </c:pt>
                <c:pt idx="10">
                  <c:v>94.669714285714221</c:v>
                </c:pt>
              </c:numCache>
            </c:numRef>
          </c:yVal>
          <c:smooth val="1"/>
        </c:ser>
        <c:ser>
          <c:idx val="8"/>
          <c:order val="2"/>
          <c:tx>
            <c:strRef>
              <c:f>'LongChannel Model'!$J$30</c:f>
              <c:strCache>
                <c:ptCount val="1"/>
                <c:pt idx="0">
                  <c:v>0.8</c:v>
                </c:pt>
              </c:strCache>
            </c:strRef>
          </c:tx>
          <c:marker>
            <c:symbol val="dash"/>
            <c:size val="7"/>
            <c:spPr>
              <a:solidFill>
                <a:srgbClr val="00B050"/>
              </a:solidFill>
            </c:spPr>
          </c:marker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Model'!$J$31:$J$41</c:f>
              <c:numCache>
                <c:formatCode>0.0</c:formatCode>
                <c:ptCount val="11"/>
                <c:pt idx="0">
                  <c:v>0</c:v>
                </c:pt>
                <c:pt idx="1">
                  <c:v>23.667428571428566</c:v>
                </c:pt>
                <c:pt idx="2">
                  <c:v>42.07542857142856</c:v>
                </c:pt>
                <c:pt idx="3">
                  <c:v>55.22399999999999</c:v>
                </c:pt>
                <c:pt idx="4">
                  <c:v>63.11314285714284</c:v>
                </c:pt>
                <c:pt idx="5">
                  <c:v>65.742857142857119</c:v>
                </c:pt>
                <c:pt idx="6">
                  <c:v>65.742857142857119</c:v>
                </c:pt>
                <c:pt idx="7">
                  <c:v>65.742857142857119</c:v>
                </c:pt>
                <c:pt idx="8">
                  <c:v>65.742857142857119</c:v>
                </c:pt>
                <c:pt idx="9">
                  <c:v>65.742857142857119</c:v>
                </c:pt>
                <c:pt idx="10">
                  <c:v>65.742857142857119</c:v>
                </c:pt>
              </c:numCache>
            </c:numRef>
          </c:yVal>
          <c:smooth val="1"/>
        </c:ser>
        <c:ser>
          <c:idx val="7"/>
          <c:order val="3"/>
          <c:tx>
            <c:strRef>
              <c:f>'LongChannel Model'!$I$30</c:f>
              <c:strCache>
                <c:ptCount val="1"/>
                <c:pt idx="0">
                  <c:v>0.7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Model'!$I$31:$I$41</c:f>
              <c:numCache>
                <c:formatCode>0.0</c:formatCode>
                <c:ptCount val="11"/>
                <c:pt idx="0">
                  <c:v>0</c:v>
                </c:pt>
                <c:pt idx="1">
                  <c:v>18.407999999999998</c:v>
                </c:pt>
                <c:pt idx="2">
                  <c:v>31.55657142857142</c:v>
                </c:pt>
                <c:pt idx="3">
                  <c:v>39.445714285714274</c:v>
                </c:pt>
                <c:pt idx="4">
                  <c:v>42.07542857142856</c:v>
                </c:pt>
                <c:pt idx="5">
                  <c:v>42.07542857142856</c:v>
                </c:pt>
                <c:pt idx="6">
                  <c:v>42.07542857142856</c:v>
                </c:pt>
                <c:pt idx="7">
                  <c:v>42.07542857142856</c:v>
                </c:pt>
                <c:pt idx="8">
                  <c:v>42.07542857142856</c:v>
                </c:pt>
                <c:pt idx="9">
                  <c:v>42.07542857142856</c:v>
                </c:pt>
                <c:pt idx="10">
                  <c:v>42.07542857142856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'LongChannel Model'!$H$30</c:f>
              <c:strCache>
                <c:ptCount val="1"/>
                <c:pt idx="0">
                  <c:v>0.6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ln>
                <a:solidFill>
                  <a:srgbClr val="C00000"/>
                </a:solidFill>
              </a:ln>
            </c:spPr>
          </c:marker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Model'!$H$31:$H$41</c:f>
              <c:numCache>
                <c:formatCode>0.0</c:formatCode>
                <c:ptCount val="11"/>
                <c:pt idx="0">
                  <c:v>0</c:v>
                </c:pt>
                <c:pt idx="1">
                  <c:v>13.148571428571428</c:v>
                </c:pt>
                <c:pt idx="2">
                  <c:v>21.037714285714284</c:v>
                </c:pt>
                <c:pt idx="3">
                  <c:v>23.667428571428566</c:v>
                </c:pt>
                <c:pt idx="4">
                  <c:v>23.667428571428566</c:v>
                </c:pt>
                <c:pt idx="5">
                  <c:v>23.667428571428566</c:v>
                </c:pt>
                <c:pt idx="6">
                  <c:v>23.667428571428566</c:v>
                </c:pt>
                <c:pt idx="7">
                  <c:v>23.667428571428566</c:v>
                </c:pt>
                <c:pt idx="8">
                  <c:v>23.667428571428566</c:v>
                </c:pt>
                <c:pt idx="9">
                  <c:v>23.667428571428566</c:v>
                </c:pt>
                <c:pt idx="10">
                  <c:v>23.667428571428566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'LongChannel Model'!$G$30</c:f>
              <c:strCache>
                <c:ptCount val="1"/>
                <c:pt idx="0">
                  <c:v>0.5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</c:spPr>
          </c:marker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Model'!$G$31:$G$41</c:f>
              <c:numCache>
                <c:formatCode>0.0</c:formatCode>
                <c:ptCount val="11"/>
                <c:pt idx="0">
                  <c:v>0</c:v>
                </c:pt>
                <c:pt idx="1">
                  <c:v>7.8891428571428577</c:v>
                </c:pt>
                <c:pt idx="2">
                  <c:v>10.518857142857144</c:v>
                </c:pt>
                <c:pt idx="3">
                  <c:v>10.518857142857144</c:v>
                </c:pt>
                <c:pt idx="4">
                  <c:v>10.518857142857144</c:v>
                </c:pt>
                <c:pt idx="5">
                  <c:v>10.518857142857144</c:v>
                </c:pt>
                <c:pt idx="6">
                  <c:v>10.518857142857144</c:v>
                </c:pt>
                <c:pt idx="7">
                  <c:v>10.518857142857144</c:v>
                </c:pt>
                <c:pt idx="8">
                  <c:v>10.518857142857144</c:v>
                </c:pt>
                <c:pt idx="9">
                  <c:v>10.518857142857144</c:v>
                </c:pt>
                <c:pt idx="10">
                  <c:v>10.518857142857144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'LongChannel Model'!$F$30</c:f>
              <c:strCache>
                <c:ptCount val="1"/>
                <c:pt idx="0">
                  <c:v>0.4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Model'!$F$31:$F$41</c:f>
              <c:numCache>
                <c:formatCode>0.0</c:formatCode>
                <c:ptCount val="11"/>
                <c:pt idx="0">
                  <c:v>0</c:v>
                </c:pt>
                <c:pt idx="1">
                  <c:v>2.6297142857142872</c:v>
                </c:pt>
                <c:pt idx="2">
                  <c:v>2.6297142857142872</c:v>
                </c:pt>
                <c:pt idx="3">
                  <c:v>2.6297142857142872</c:v>
                </c:pt>
                <c:pt idx="4">
                  <c:v>2.6297142857142872</c:v>
                </c:pt>
                <c:pt idx="5">
                  <c:v>2.6297142857142872</c:v>
                </c:pt>
                <c:pt idx="6">
                  <c:v>2.6297142857142872</c:v>
                </c:pt>
                <c:pt idx="7">
                  <c:v>2.6297142857142872</c:v>
                </c:pt>
                <c:pt idx="8">
                  <c:v>2.6297142857142872</c:v>
                </c:pt>
                <c:pt idx="9">
                  <c:v>2.6297142857142872</c:v>
                </c:pt>
                <c:pt idx="10">
                  <c:v>2.6297142857142872</c:v>
                </c:pt>
              </c:numCache>
            </c:numRef>
          </c:yVal>
          <c:smooth val="1"/>
        </c:ser>
        <c:ser>
          <c:idx val="3"/>
          <c:order val="7"/>
          <c:tx>
            <c:strRef>
              <c:f>'LongChannel Model'!$E$30</c:f>
              <c:strCache>
                <c:ptCount val="1"/>
                <c:pt idx="0">
                  <c:v>0.3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x"/>
            <c:size val="7"/>
          </c:marker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Model'!$E$31:$E$41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8"/>
          <c:tx>
            <c:strRef>
              <c:f>'LongChannel Model'!$D$30</c:f>
              <c:strCache>
                <c:ptCount val="1"/>
                <c:pt idx="0">
                  <c:v>0.2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</c:spPr>
          </c:marker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Model'!$D$31:$D$41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9"/>
          <c:tx>
            <c:strRef>
              <c:f>'LongChannel Model'!$C$30</c:f>
              <c:strCache>
                <c:ptCount val="1"/>
                <c:pt idx="0">
                  <c:v>0.1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</c:spPr>
          </c:marker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Model'!$C$31:$C$41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0"/>
          <c:order val="10"/>
          <c:tx>
            <c:strRef>
              <c:f>'LongChannel Model'!$B$30</c:f>
              <c:strCache>
                <c:ptCount val="1"/>
                <c:pt idx="0">
                  <c:v>0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</c:spPr>
          </c:marker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Model'!$B$31:$B$41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'LongChannel Model'!$B$60</c:f>
              <c:strCache>
                <c:ptCount val="1"/>
                <c:pt idx="0">
                  <c:v>0</c:v>
                </c:pt>
              </c:strCache>
            </c:strRef>
          </c:tx>
          <c:spPr>
            <a:ln>
              <a:solidFill>
                <a:srgbClr val="7030A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7030A0"/>
              </a:solidFill>
            </c:spPr>
          </c:marker>
          <c:xVal>
            <c:numRef>
              <c:f>'LongChannel Model'!$A$61:$A$71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Model'!$B$61:$B$71</c:f>
              <c:numCache>
                <c:formatCode>General</c:formatCode>
                <c:ptCount val="11"/>
                <c:pt idx="0">
                  <c:v>64.427999999999983</c:v>
                </c:pt>
                <c:pt idx="1">
                  <c:v>64.427999999999983</c:v>
                </c:pt>
                <c:pt idx="2">
                  <c:v>64.427999999999983</c:v>
                </c:pt>
                <c:pt idx="3">
                  <c:v>64.427999999999983</c:v>
                </c:pt>
                <c:pt idx="4">
                  <c:v>63.11314285714284</c:v>
                </c:pt>
                <c:pt idx="5">
                  <c:v>59.168571428571411</c:v>
                </c:pt>
                <c:pt idx="6">
                  <c:v>52.594285714285697</c:v>
                </c:pt>
                <c:pt idx="7">
                  <c:v>43.39028571428571</c:v>
                </c:pt>
                <c:pt idx="8">
                  <c:v>31.556571428571427</c:v>
                </c:pt>
                <c:pt idx="9">
                  <c:v>17.093142857142851</c:v>
                </c:pt>
                <c:pt idx="10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'LongChannel Model'!$C$60</c:f>
              <c:strCache>
                <c:ptCount val="1"/>
                <c:pt idx="0">
                  <c:v>0.1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</c:spPr>
          </c:marker>
          <c:xVal>
            <c:numRef>
              <c:f>'LongChannel Model'!$A$61:$A$71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Model'!$C$61:$C$71</c:f>
              <c:numCache>
                <c:formatCode>General</c:formatCode>
                <c:ptCount val="11"/>
                <c:pt idx="0">
                  <c:v>47.334857142857111</c:v>
                </c:pt>
                <c:pt idx="1">
                  <c:v>47.334857142857111</c:v>
                </c:pt>
                <c:pt idx="2">
                  <c:v>47.334857142857111</c:v>
                </c:pt>
                <c:pt idx="3">
                  <c:v>47.334857142857111</c:v>
                </c:pt>
                <c:pt idx="4">
                  <c:v>47.334857142857111</c:v>
                </c:pt>
                <c:pt idx="5">
                  <c:v>46.019999999999975</c:v>
                </c:pt>
                <c:pt idx="6">
                  <c:v>42.075428571428553</c:v>
                </c:pt>
                <c:pt idx="7">
                  <c:v>35.501142857142845</c:v>
                </c:pt>
                <c:pt idx="8">
                  <c:v>26.297142857142848</c:v>
                </c:pt>
                <c:pt idx="9">
                  <c:v>14.463428571428565</c:v>
                </c:pt>
                <c:pt idx="10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'LongChannel Model'!$D$60</c:f>
              <c:strCache>
                <c:ptCount val="1"/>
                <c:pt idx="0">
                  <c:v>0.2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00B050"/>
              </a:solidFill>
            </c:spPr>
          </c:marker>
          <c:xVal>
            <c:numRef>
              <c:f>'LongChannel Model'!$A$61:$A$71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Model'!$D$61:$D$71</c:f>
              <c:numCache>
                <c:formatCode>General</c:formatCode>
                <c:ptCount val="11"/>
                <c:pt idx="0">
                  <c:v>32.871428571428559</c:v>
                </c:pt>
                <c:pt idx="1">
                  <c:v>32.871428571428559</c:v>
                </c:pt>
                <c:pt idx="2">
                  <c:v>32.871428571428559</c:v>
                </c:pt>
                <c:pt idx="3">
                  <c:v>32.871428571428559</c:v>
                </c:pt>
                <c:pt idx="4">
                  <c:v>32.871428571428559</c:v>
                </c:pt>
                <c:pt idx="5">
                  <c:v>32.871428571428559</c:v>
                </c:pt>
                <c:pt idx="6">
                  <c:v>31.55657142857142</c:v>
                </c:pt>
                <c:pt idx="7">
                  <c:v>27.611999999999995</c:v>
                </c:pt>
                <c:pt idx="8">
                  <c:v>21.03771428571428</c:v>
                </c:pt>
                <c:pt idx="9">
                  <c:v>11.833714285714283</c:v>
                </c:pt>
                <c:pt idx="10">
                  <c:v>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'LongChannel Model'!$E$60</c:f>
              <c:strCache>
                <c:ptCount val="1"/>
                <c:pt idx="0">
                  <c:v>0.3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x"/>
            <c:size val="7"/>
            <c:spPr>
              <a:noFill/>
              <a:ln>
                <a:solidFill>
                  <a:srgbClr val="0070C0"/>
                </a:solidFill>
              </a:ln>
            </c:spPr>
          </c:marker>
          <c:xVal>
            <c:numRef>
              <c:f>'LongChannel Model'!$A$61:$A$71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Model'!$E$61:$E$71</c:f>
              <c:numCache>
                <c:formatCode>General</c:formatCode>
                <c:ptCount val="11"/>
                <c:pt idx="0">
                  <c:v>21.03771428571428</c:v>
                </c:pt>
                <c:pt idx="1">
                  <c:v>21.03771428571428</c:v>
                </c:pt>
                <c:pt idx="2">
                  <c:v>21.03771428571428</c:v>
                </c:pt>
                <c:pt idx="3">
                  <c:v>21.03771428571428</c:v>
                </c:pt>
                <c:pt idx="4">
                  <c:v>21.03771428571428</c:v>
                </c:pt>
                <c:pt idx="5">
                  <c:v>21.03771428571428</c:v>
                </c:pt>
                <c:pt idx="6">
                  <c:v>21.03771428571428</c:v>
                </c:pt>
                <c:pt idx="7">
                  <c:v>19.722857142857137</c:v>
                </c:pt>
                <c:pt idx="8">
                  <c:v>15.77828571428571</c:v>
                </c:pt>
                <c:pt idx="9">
                  <c:v>9.2039999999999988</c:v>
                </c:pt>
                <c:pt idx="10">
                  <c:v>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'LongChannel Model'!$F$60</c:f>
              <c:strCache>
                <c:ptCount val="1"/>
                <c:pt idx="0">
                  <c:v>0.4</c:v>
                </c:pt>
              </c:strCache>
            </c:strRef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xVal>
            <c:numRef>
              <c:f>'LongChannel Model'!$A$61:$A$71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Model'!$F$61:$F$71</c:f>
              <c:numCache>
                <c:formatCode>General</c:formatCode>
                <c:ptCount val="11"/>
                <c:pt idx="0">
                  <c:v>11.833714285714283</c:v>
                </c:pt>
                <c:pt idx="1">
                  <c:v>11.833714285714283</c:v>
                </c:pt>
                <c:pt idx="2">
                  <c:v>11.833714285714283</c:v>
                </c:pt>
                <c:pt idx="3">
                  <c:v>11.833714285714283</c:v>
                </c:pt>
                <c:pt idx="4">
                  <c:v>11.833714285714283</c:v>
                </c:pt>
                <c:pt idx="5">
                  <c:v>11.833714285714283</c:v>
                </c:pt>
                <c:pt idx="6">
                  <c:v>11.833714285714283</c:v>
                </c:pt>
                <c:pt idx="7">
                  <c:v>11.833714285714283</c:v>
                </c:pt>
                <c:pt idx="8">
                  <c:v>10.518857142857142</c:v>
                </c:pt>
                <c:pt idx="9">
                  <c:v>6.5742857142857138</c:v>
                </c:pt>
                <c:pt idx="10">
                  <c:v>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'LongChannel Model'!$G$60</c:f>
              <c:strCache>
                <c:ptCount val="1"/>
                <c:pt idx="0">
                  <c:v>0.5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diamond"/>
            <c:size val="7"/>
            <c:spPr>
              <a:solidFill>
                <a:schemeClr val="tx1"/>
              </a:solidFill>
            </c:spPr>
          </c:marker>
          <c:xVal>
            <c:numRef>
              <c:f>'LongChannel Model'!$A$61:$A$71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Model'!$G$61:$G$71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'LongChannel Model'!$H$60</c:f>
              <c:strCache>
                <c:ptCount val="1"/>
                <c:pt idx="0">
                  <c:v>0.6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dot"/>
            <c:size val="7"/>
            <c:spPr>
              <a:ln>
                <a:solidFill>
                  <a:srgbClr val="C00000"/>
                </a:solidFill>
              </a:ln>
            </c:spPr>
          </c:marker>
          <c:xVal>
            <c:numRef>
              <c:f>'LongChannel Model'!$A$61:$A$71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Model'!$H$61:$H$71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'LongChannel Model'!$I$60</c:f>
              <c:strCache>
                <c:ptCount val="1"/>
                <c:pt idx="0">
                  <c:v>0.7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dash"/>
            <c:size val="7"/>
            <c:spPr>
              <a:noFill/>
              <a:ln>
                <a:solidFill>
                  <a:schemeClr val="accent6"/>
                </a:solidFill>
              </a:ln>
            </c:spPr>
          </c:marker>
          <c:xVal>
            <c:numRef>
              <c:f>'LongChannel Model'!$A$61:$A$71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Model'!$I$61:$I$71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'LongChannel Model'!$J$60</c:f>
              <c:strCache>
                <c:ptCount val="1"/>
                <c:pt idx="0">
                  <c:v>0.8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xVal>
            <c:numRef>
              <c:f>'LongChannel Model'!$A$61:$A$71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Model'!$J$61:$J$71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'LongChannel Model'!$K$60</c:f>
              <c:strCache>
                <c:ptCount val="1"/>
                <c:pt idx="0">
                  <c:v>0.9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marker>
            <c:symbol val="diamond"/>
            <c:size val="7"/>
            <c:spPr>
              <a:solidFill>
                <a:schemeClr val="accent4"/>
              </a:solidFill>
            </c:spPr>
          </c:marker>
          <c:xVal>
            <c:numRef>
              <c:f>'LongChannel Model'!$A$61:$A$71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Model'!$K$61:$K$71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'LongChannel Model'!$L$60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accent5"/>
              </a:solidFill>
            </c:spPr>
          </c:marker>
          <c:xVal>
            <c:numRef>
              <c:f>'LongChannel Model'!$A$61:$A$71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Model'!$L$61:$L$71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53472"/>
        <c:axId val="107755776"/>
      </c:scatterChart>
      <c:valAx>
        <c:axId val="107753472"/>
        <c:scaling>
          <c:orientation val="minMax"/>
          <c:max val="1"/>
        </c:scaling>
        <c:delete val="0"/>
        <c:axPos val="b"/>
        <c:majorGridlines>
          <c:spPr>
            <a:ln w="19050"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Vds NMOS (Volts)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7755776"/>
        <c:crosses val="autoZero"/>
        <c:crossBetween val="midCat"/>
      </c:valAx>
      <c:valAx>
        <c:axId val="107755776"/>
        <c:scaling>
          <c:orientation val="minMax"/>
        </c:scaling>
        <c:delete val="0"/>
        <c:axPos val="l"/>
        <c:majorGridlines>
          <c:spPr>
            <a:ln w="19050"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Id (uA)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7753472"/>
        <c:crosses val="autoZero"/>
        <c:crossBetween val="midCat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676493964900156"/>
          <c:y val="0.32530629207650757"/>
          <c:w val="0.10483811780580719"/>
          <c:h val="0.3475226651202805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'Fixed Vds'!$B$4:$L$4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'Fixed Vds'!$B$5:$L$5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2.6297142857142872</c:v>
                </c:pt>
                <c:pt idx="5">
                  <c:v>10.518857142857144</c:v>
                </c:pt>
                <c:pt idx="6">
                  <c:v>23.667428571428566</c:v>
                </c:pt>
                <c:pt idx="7">
                  <c:v>42.07542857142856</c:v>
                </c:pt>
                <c:pt idx="8">
                  <c:v>65.742857142857119</c:v>
                </c:pt>
                <c:pt idx="9">
                  <c:v>92.039999999999949</c:v>
                </c:pt>
                <c:pt idx="10">
                  <c:v>118.33714285714282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53696"/>
        <c:axId val="109455616"/>
      </c:scatterChart>
      <c:valAx>
        <c:axId val="109453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Vgs (V)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455616"/>
        <c:crosses val="autoZero"/>
        <c:crossBetween val="midCat"/>
      </c:valAx>
      <c:valAx>
        <c:axId val="1094556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Ids (uA)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09453696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NMOS Device with R Pullup</a:t>
            </a:r>
          </a:p>
        </c:rich>
      </c:tx>
      <c:layout>
        <c:manualLayout>
          <c:xMode val="edge"/>
          <c:yMode val="edge"/>
          <c:x val="0.19260188087774294"/>
          <c:y val="0.11302279553808704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10"/>
          <c:order val="0"/>
          <c:tx>
            <c:strRef>
              <c:f>'LongChannel Model'!$L$30</c:f>
              <c:strCache>
                <c:ptCount val="1"/>
                <c:pt idx="0">
                  <c:v>1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Model'!$L$31:$L$41</c:f>
              <c:numCache>
                <c:formatCode>0.0</c:formatCode>
                <c:ptCount val="11"/>
                <c:pt idx="0">
                  <c:v>0</c:v>
                </c:pt>
                <c:pt idx="1">
                  <c:v>34.186285714285702</c:v>
                </c:pt>
                <c:pt idx="2">
                  <c:v>63.113142857142854</c:v>
                </c:pt>
                <c:pt idx="3">
                  <c:v>86.78057142857142</c:v>
                </c:pt>
                <c:pt idx="4">
                  <c:v>105.18857142857139</c:v>
                </c:pt>
                <c:pt idx="5">
                  <c:v>118.33714285714282</c:v>
                </c:pt>
                <c:pt idx="6">
                  <c:v>126.22628571428568</c:v>
                </c:pt>
                <c:pt idx="7">
                  <c:v>128.85599999999997</c:v>
                </c:pt>
                <c:pt idx="8">
                  <c:v>128.85599999999997</c:v>
                </c:pt>
                <c:pt idx="9">
                  <c:v>128.85599999999997</c:v>
                </c:pt>
                <c:pt idx="10">
                  <c:v>128.85599999999997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'LongChannel Model'!$K$30</c:f>
              <c:strCache>
                <c:ptCount val="1"/>
                <c:pt idx="0">
                  <c:v>0.9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Model'!$K$31:$K$41</c:f>
              <c:numCache>
                <c:formatCode>0.0</c:formatCode>
                <c:ptCount val="11"/>
                <c:pt idx="0">
                  <c:v>0</c:v>
                </c:pt>
                <c:pt idx="1">
                  <c:v>28.926857142857131</c:v>
                </c:pt>
                <c:pt idx="2">
                  <c:v>52.594285714285697</c:v>
                </c:pt>
                <c:pt idx="3">
                  <c:v>71.002285714285691</c:v>
                </c:pt>
                <c:pt idx="4">
                  <c:v>84.150857142857106</c:v>
                </c:pt>
                <c:pt idx="5">
                  <c:v>92.039999999999949</c:v>
                </c:pt>
                <c:pt idx="6">
                  <c:v>94.669714285714221</c:v>
                </c:pt>
                <c:pt idx="7">
                  <c:v>94.669714285714221</c:v>
                </c:pt>
                <c:pt idx="8">
                  <c:v>94.669714285714221</c:v>
                </c:pt>
                <c:pt idx="9">
                  <c:v>94.669714285714221</c:v>
                </c:pt>
                <c:pt idx="10">
                  <c:v>94.669714285714221</c:v>
                </c:pt>
              </c:numCache>
            </c:numRef>
          </c:yVal>
          <c:smooth val="1"/>
        </c:ser>
        <c:ser>
          <c:idx val="8"/>
          <c:order val="2"/>
          <c:tx>
            <c:strRef>
              <c:f>'LongChannel Model'!$J$30</c:f>
              <c:strCache>
                <c:ptCount val="1"/>
                <c:pt idx="0">
                  <c:v>0.8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Model'!$J$31:$J$41</c:f>
              <c:numCache>
                <c:formatCode>0.0</c:formatCode>
                <c:ptCount val="11"/>
                <c:pt idx="0">
                  <c:v>0</c:v>
                </c:pt>
                <c:pt idx="1">
                  <c:v>23.667428571428566</c:v>
                </c:pt>
                <c:pt idx="2">
                  <c:v>42.07542857142856</c:v>
                </c:pt>
                <c:pt idx="3">
                  <c:v>55.22399999999999</c:v>
                </c:pt>
                <c:pt idx="4">
                  <c:v>63.11314285714284</c:v>
                </c:pt>
                <c:pt idx="5">
                  <c:v>65.742857142857119</c:v>
                </c:pt>
                <c:pt idx="6">
                  <c:v>65.742857142857119</c:v>
                </c:pt>
                <c:pt idx="7">
                  <c:v>65.742857142857119</c:v>
                </c:pt>
                <c:pt idx="8">
                  <c:v>65.742857142857119</c:v>
                </c:pt>
                <c:pt idx="9">
                  <c:v>65.742857142857119</c:v>
                </c:pt>
                <c:pt idx="10">
                  <c:v>65.742857142857119</c:v>
                </c:pt>
              </c:numCache>
            </c:numRef>
          </c:yVal>
          <c:smooth val="1"/>
        </c:ser>
        <c:ser>
          <c:idx val="7"/>
          <c:order val="3"/>
          <c:tx>
            <c:strRef>
              <c:f>'LongChannel Model'!$I$30</c:f>
              <c:strCache>
                <c:ptCount val="1"/>
                <c:pt idx="0">
                  <c:v>0.7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Model'!$I$31:$I$41</c:f>
              <c:numCache>
                <c:formatCode>0.0</c:formatCode>
                <c:ptCount val="11"/>
                <c:pt idx="0">
                  <c:v>0</c:v>
                </c:pt>
                <c:pt idx="1">
                  <c:v>18.407999999999998</c:v>
                </c:pt>
                <c:pt idx="2">
                  <c:v>31.55657142857142</c:v>
                </c:pt>
                <c:pt idx="3">
                  <c:v>39.445714285714274</c:v>
                </c:pt>
                <c:pt idx="4">
                  <c:v>42.07542857142856</c:v>
                </c:pt>
                <c:pt idx="5">
                  <c:v>42.07542857142856</c:v>
                </c:pt>
                <c:pt idx="6">
                  <c:v>42.07542857142856</c:v>
                </c:pt>
                <c:pt idx="7">
                  <c:v>42.07542857142856</c:v>
                </c:pt>
                <c:pt idx="8">
                  <c:v>42.07542857142856</c:v>
                </c:pt>
                <c:pt idx="9">
                  <c:v>42.07542857142856</c:v>
                </c:pt>
                <c:pt idx="10">
                  <c:v>42.07542857142856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'LongChannel Model'!$H$30</c:f>
              <c:strCache>
                <c:ptCount val="1"/>
                <c:pt idx="0">
                  <c:v>0.6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Model'!$H$31:$H$41</c:f>
              <c:numCache>
                <c:formatCode>0.0</c:formatCode>
                <c:ptCount val="11"/>
                <c:pt idx="0">
                  <c:v>0</c:v>
                </c:pt>
                <c:pt idx="1">
                  <c:v>13.148571428571428</c:v>
                </c:pt>
                <c:pt idx="2">
                  <c:v>21.037714285714284</c:v>
                </c:pt>
                <c:pt idx="3">
                  <c:v>23.667428571428566</c:v>
                </c:pt>
                <c:pt idx="4">
                  <c:v>23.667428571428566</c:v>
                </c:pt>
                <c:pt idx="5">
                  <c:v>23.667428571428566</c:v>
                </c:pt>
                <c:pt idx="6">
                  <c:v>23.667428571428566</c:v>
                </c:pt>
                <c:pt idx="7">
                  <c:v>23.667428571428566</c:v>
                </c:pt>
                <c:pt idx="8">
                  <c:v>23.667428571428566</c:v>
                </c:pt>
                <c:pt idx="9">
                  <c:v>23.667428571428566</c:v>
                </c:pt>
                <c:pt idx="10">
                  <c:v>23.667428571428566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'LongChannel Model'!$G$30</c:f>
              <c:strCache>
                <c:ptCount val="1"/>
                <c:pt idx="0">
                  <c:v>0.5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Model'!$G$31:$G$41</c:f>
              <c:numCache>
                <c:formatCode>0.0</c:formatCode>
                <c:ptCount val="11"/>
                <c:pt idx="0">
                  <c:v>0</c:v>
                </c:pt>
                <c:pt idx="1">
                  <c:v>7.8891428571428577</c:v>
                </c:pt>
                <c:pt idx="2">
                  <c:v>10.518857142857144</c:v>
                </c:pt>
                <c:pt idx="3">
                  <c:v>10.518857142857144</c:v>
                </c:pt>
                <c:pt idx="4">
                  <c:v>10.518857142857144</c:v>
                </c:pt>
                <c:pt idx="5">
                  <c:v>10.518857142857144</c:v>
                </c:pt>
                <c:pt idx="6">
                  <c:v>10.518857142857144</c:v>
                </c:pt>
                <c:pt idx="7">
                  <c:v>10.518857142857144</c:v>
                </c:pt>
                <c:pt idx="8">
                  <c:v>10.518857142857144</c:v>
                </c:pt>
                <c:pt idx="9">
                  <c:v>10.518857142857144</c:v>
                </c:pt>
                <c:pt idx="10">
                  <c:v>10.518857142857144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'LongChannel Model'!$F$30</c:f>
              <c:strCache>
                <c:ptCount val="1"/>
                <c:pt idx="0">
                  <c:v>0.4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Model'!$F$31:$F$41</c:f>
              <c:numCache>
                <c:formatCode>0.0</c:formatCode>
                <c:ptCount val="11"/>
                <c:pt idx="0">
                  <c:v>0</c:v>
                </c:pt>
                <c:pt idx="1">
                  <c:v>2.6297142857142872</c:v>
                </c:pt>
                <c:pt idx="2">
                  <c:v>2.6297142857142872</c:v>
                </c:pt>
                <c:pt idx="3">
                  <c:v>2.6297142857142872</c:v>
                </c:pt>
                <c:pt idx="4">
                  <c:v>2.6297142857142872</c:v>
                </c:pt>
                <c:pt idx="5">
                  <c:v>2.6297142857142872</c:v>
                </c:pt>
                <c:pt idx="6">
                  <c:v>2.6297142857142872</c:v>
                </c:pt>
                <c:pt idx="7">
                  <c:v>2.6297142857142872</c:v>
                </c:pt>
                <c:pt idx="8">
                  <c:v>2.6297142857142872</c:v>
                </c:pt>
                <c:pt idx="9">
                  <c:v>2.6297142857142872</c:v>
                </c:pt>
                <c:pt idx="10">
                  <c:v>2.6297142857142872</c:v>
                </c:pt>
              </c:numCache>
            </c:numRef>
          </c:yVal>
          <c:smooth val="1"/>
        </c:ser>
        <c:ser>
          <c:idx val="3"/>
          <c:order val="7"/>
          <c:tx>
            <c:strRef>
              <c:f>'LongChannel Model'!$E$30</c:f>
              <c:strCache>
                <c:ptCount val="1"/>
                <c:pt idx="0">
                  <c:v>0.3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Model'!$E$31:$E$41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8"/>
          <c:tx>
            <c:strRef>
              <c:f>'LongChannel Model'!$D$30</c:f>
              <c:strCache>
                <c:ptCount val="1"/>
                <c:pt idx="0">
                  <c:v>0.2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Model'!$D$31:$D$41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9"/>
          <c:tx>
            <c:strRef>
              <c:f>'LongChannel Model'!$C$30</c:f>
              <c:strCache>
                <c:ptCount val="1"/>
                <c:pt idx="0">
                  <c:v>0.1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Model'!$C$31:$C$41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0"/>
          <c:order val="10"/>
          <c:tx>
            <c:strRef>
              <c:f>'LongChannel Model'!$B$30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'LongChannel Model'!$A$31:$A$41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'LongChannel Model'!$B$31:$B$41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R</c:v>
          </c:tx>
          <c:spPr>
            <a:ln>
              <a:solidFill>
                <a:srgbClr val="FF0000"/>
              </a:solidFill>
              <a:prstDash val="dashDot"/>
            </a:ln>
          </c:spPr>
          <c:marker>
            <c:symbol val="none"/>
          </c:marker>
          <c:xVal>
            <c:numRef>
              <c:f>'R Pullup'!$A$19:$A$29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'R Pullup'!$C$19:$C$29</c:f>
              <c:numCache>
                <c:formatCode>General</c:formatCode>
                <c:ptCount val="11"/>
                <c:pt idx="0">
                  <c:v>#N/A</c:v>
                </c:pt>
                <c:pt idx="1">
                  <c:v>140.62499999999997</c:v>
                </c:pt>
                <c:pt idx="2">
                  <c:v>124.99999999999996</c:v>
                </c:pt>
                <c:pt idx="3">
                  <c:v>109.37499999999999</c:v>
                </c:pt>
                <c:pt idx="4">
                  <c:v>93.749999999999986</c:v>
                </c:pt>
                <c:pt idx="5">
                  <c:v>78.124999999999986</c:v>
                </c:pt>
                <c:pt idx="6">
                  <c:v>62.499999999999979</c:v>
                </c:pt>
                <c:pt idx="7">
                  <c:v>46.874999999999993</c:v>
                </c:pt>
                <c:pt idx="8">
                  <c:v>31.249999999999989</c:v>
                </c:pt>
                <c:pt idx="9">
                  <c:v>15.624999999999995</c:v>
                </c:pt>
                <c:pt idx="10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'R Pullup'!$B$17</c:f>
              <c:strCache>
                <c:ptCount val="1"/>
                <c:pt idx="0">
                  <c:v>R/4</c:v>
                </c:pt>
              </c:strCache>
            </c:strRef>
          </c:tx>
          <c:spPr>
            <a:ln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'R Pullup'!$A$19:$A$29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'R Pullup'!$B$19:$B$29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124.99999999999996</c:v>
                </c:pt>
                <c:pt idx="9">
                  <c:v>62.499999999999979</c:v>
                </c:pt>
                <c:pt idx="10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'R Pullup'!$D$17</c:f>
              <c:strCache>
                <c:ptCount val="1"/>
                <c:pt idx="0">
                  <c:v>4R</c:v>
                </c:pt>
              </c:strCache>
            </c:strRef>
          </c:tx>
          <c:spPr>
            <a:ln>
              <a:solidFill>
                <a:srgbClr val="008000"/>
              </a:solidFill>
              <a:prstDash val="sysDot"/>
            </a:ln>
          </c:spPr>
          <c:marker>
            <c:symbol val="none"/>
          </c:marker>
          <c:xVal>
            <c:numRef>
              <c:f>'R Pullup'!$A$19:$A$29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'R Pullup'!$D$19:$D$29</c:f>
              <c:numCache>
                <c:formatCode>General</c:formatCode>
                <c:ptCount val="11"/>
                <c:pt idx="0">
                  <c:v>39.062499999999993</c:v>
                </c:pt>
                <c:pt idx="1">
                  <c:v>35.156249999999993</c:v>
                </c:pt>
                <c:pt idx="2">
                  <c:v>31.249999999999989</c:v>
                </c:pt>
                <c:pt idx="3">
                  <c:v>27.343749999999996</c:v>
                </c:pt>
                <c:pt idx="4">
                  <c:v>23.437499999999996</c:v>
                </c:pt>
                <c:pt idx="5">
                  <c:v>19.531249999999996</c:v>
                </c:pt>
                <c:pt idx="6">
                  <c:v>15.624999999999995</c:v>
                </c:pt>
                <c:pt idx="7">
                  <c:v>11.718749999999998</c:v>
                </c:pt>
                <c:pt idx="8">
                  <c:v>7.8124999999999973</c:v>
                </c:pt>
                <c:pt idx="9">
                  <c:v>3.9062499999999987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56896"/>
        <c:axId val="59058816"/>
      </c:scatterChart>
      <c:valAx>
        <c:axId val="59056896"/>
        <c:scaling>
          <c:orientation val="minMax"/>
        </c:scaling>
        <c:delete val="0"/>
        <c:axPos val="b"/>
        <c:majorGridlines>
          <c:spPr>
            <a:ln w="19050"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Vds (Volts)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058816"/>
        <c:crosses val="autoZero"/>
        <c:crossBetween val="midCat"/>
      </c:valAx>
      <c:valAx>
        <c:axId val="59058816"/>
        <c:scaling>
          <c:orientation val="minMax"/>
        </c:scaling>
        <c:delete val="0"/>
        <c:axPos val="l"/>
        <c:majorGridlines>
          <c:spPr>
            <a:ln w="19050"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Ids (uA)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59056896"/>
        <c:crosses val="autoZero"/>
        <c:crossBetween val="midCat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6654127481713683"/>
          <c:y val="0.19759424382376717"/>
          <c:w val="0.10838035527690699"/>
          <c:h val="0.6374839471183330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25" r="0.25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57150</xdr:rowOff>
    </xdr:from>
    <xdr:to>
      <xdr:col>24</xdr:col>
      <xdr:colOff>9525</xdr:colOff>
      <xdr:row>25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38100</xdr:colOff>
      <xdr:row>27</xdr:row>
      <xdr:rowOff>28575</xdr:rowOff>
    </xdr:from>
    <xdr:to>
      <xdr:col>24</xdr:col>
      <xdr:colOff>9526</xdr:colOff>
      <xdr:row>50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54</xdr:row>
      <xdr:rowOff>0</xdr:rowOff>
    </xdr:from>
    <xdr:to>
      <xdr:col>23</xdr:col>
      <xdr:colOff>590550</xdr:colOff>
      <xdr:row>76</xdr:row>
      <xdr:rowOff>166687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6</xdr:row>
      <xdr:rowOff>133350</xdr:rowOff>
    </xdr:from>
    <xdr:to>
      <xdr:col>13</xdr:col>
      <xdr:colOff>342900</xdr:colOff>
      <xdr:row>21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</xdr:row>
      <xdr:rowOff>180975</xdr:rowOff>
    </xdr:from>
    <xdr:to>
      <xdr:col>15</xdr:col>
      <xdr:colOff>19050</xdr:colOff>
      <xdr:row>28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25" sqref="B25"/>
    </sheetView>
  </sheetViews>
  <sheetFormatPr defaultRowHeight="15" x14ac:dyDescent="0.25"/>
  <sheetData>
    <row r="1" spans="1:2" ht="14.45" x14ac:dyDescent="0.3">
      <c r="A1" t="s">
        <v>54</v>
      </c>
    </row>
    <row r="3" spans="1:2" x14ac:dyDescent="0.25">
      <c r="A3" t="s">
        <v>72</v>
      </c>
    </row>
    <row r="4" spans="1:2" ht="14.45" x14ac:dyDescent="0.3">
      <c r="B4" t="s">
        <v>55</v>
      </c>
    </row>
    <row r="6" spans="1:2" x14ac:dyDescent="0.25">
      <c r="A6" t="s">
        <v>73</v>
      </c>
    </row>
    <row r="7" spans="1:2" ht="14.45" x14ac:dyDescent="0.3">
      <c r="B7" t="s">
        <v>56</v>
      </c>
    </row>
    <row r="8" spans="1:2" ht="14.45" x14ac:dyDescent="0.3">
      <c r="B8" t="s">
        <v>57</v>
      </c>
    </row>
    <row r="9" spans="1:2" ht="14.45" x14ac:dyDescent="0.3">
      <c r="B9" t="s">
        <v>75</v>
      </c>
    </row>
    <row r="10" spans="1:2" ht="14.45" x14ac:dyDescent="0.3">
      <c r="B10" t="s">
        <v>58</v>
      </c>
    </row>
    <row r="11" spans="1:2" ht="14.45" x14ac:dyDescent="0.3">
      <c r="B11" t="s">
        <v>76</v>
      </c>
    </row>
    <row r="13" spans="1:2" x14ac:dyDescent="0.25">
      <c r="A13" t="s">
        <v>74</v>
      </c>
    </row>
    <row r="14" spans="1:2" ht="14.45" x14ac:dyDescent="0.3">
      <c r="B14" t="s">
        <v>59</v>
      </c>
    </row>
    <row r="16" spans="1:2" x14ac:dyDescent="0.25">
      <c r="A16" t="s">
        <v>78</v>
      </c>
    </row>
    <row r="17" spans="1:2" x14ac:dyDescent="0.25">
      <c r="B17" t="s">
        <v>79</v>
      </c>
    </row>
    <row r="19" spans="1:2" x14ac:dyDescent="0.25">
      <c r="A19" t="s">
        <v>77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R23" sqref="R23"/>
    </sheetView>
  </sheetViews>
  <sheetFormatPr defaultColWidth="9.140625" defaultRowHeight="15" x14ac:dyDescent="0.25"/>
  <cols>
    <col min="1" max="1" width="19.42578125" style="9" bestFit="1" customWidth="1"/>
    <col min="2" max="2" width="14.140625" style="9" bestFit="1" customWidth="1"/>
    <col min="3" max="3" width="11.28515625" style="9" customWidth="1"/>
    <col min="4" max="4" width="11.85546875" style="9" customWidth="1"/>
    <col min="5" max="16384" width="9.140625" style="9"/>
  </cols>
  <sheetData>
    <row r="1" spans="1:12" ht="14.45" x14ac:dyDescent="0.3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4.45" x14ac:dyDescent="0.3">
      <c r="C2" s="28">
        <v>1</v>
      </c>
      <c r="D2" s="9">
        <v>2</v>
      </c>
      <c r="E2" s="9">
        <v>3</v>
      </c>
      <c r="F2" s="9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</row>
    <row r="3" spans="1:12" ht="14.45" x14ac:dyDescent="0.3">
      <c r="A3" s="9" t="s">
        <v>35</v>
      </c>
      <c r="B3" s="9" t="s">
        <v>36</v>
      </c>
      <c r="C3" s="28" t="s">
        <v>53</v>
      </c>
      <c r="D3" s="9" t="s">
        <v>49</v>
      </c>
      <c r="E3" s="9" t="s">
        <v>52</v>
      </c>
      <c r="F3" s="9" t="s">
        <v>50</v>
      </c>
      <c r="G3" s="3" t="s">
        <v>71</v>
      </c>
      <c r="H3" s="3"/>
      <c r="I3" s="3"/>
      <c r="J3" s="3"/>
      <c r="K3" s="3"/>
      <c r="L3" s="3"/>
    </row>
    <row r="4" spans="1:12" ht="14.45" x14ac:dyDescent="0.3">
      <c r="A4" s="9" t="s">
        <v>48</v>
      </c>
      <c r="B4" s="9" t="s">
        <v>0</v>
      </c>
      <c r="C4" s="28">
        <v>2000</v>
      </c>
      <c r="D4" s="9">
        <v>600</v>
      </c>
      <c r="E4" s="9">
        <v>180</v>
      </c>
      <c r="F4" s="9">
        <v>65</v>
      </c>
      <c r="G4" s="3">
        <v>500</v>
      </c>
      <c r="H4" s="3"/>
      <c r="I4" s="3"/>
      <c r="J4" s="3"/>
      <c r="K4" s="3"/>
      <c r="L4" s="3"/>
    </row>
    <row r="5" spans="1:12" x14ac:dyDescent="0.25">
      <c r="A5" s="1" t="s">
        <v>42</v>
      </c>
      <c r="B5" s="9" t="s">
        <v>0</v>
      </c>
      <c r="C5" s="28">
        <v>1000</v>
      </c>
      <c r="D5" s="9">
        <v>300</v>
      </c>
      <c r="E5" s="10">
        <v>90</v>
      </c>
      <c r="F5" s="10">
        <v>25</v>
      </c>
      <c r="G5" s="3">
        <v>250</v>
      </c>
      <c r="H5" s="3"/>
      <c r="I5" s="3"/>
      <c r="J5" s="3"/>
      <c r="K5" s="3"/>
      <c r="L5" s="3"/>
    </row>
    <row r="6" spans="1:12" ht="14.45" x14ac:dyDescent="0.3">
      <c r="A6" s="20" t="s">
        <v>41</v>
      </c>
      <c r="B6" s="9" t="s">
        <v>0</v>
      </c>
      <c r="C6" s="28">
        <v>2000</v>
      </c>
      <c r="D6" s="9">
        <f>2*D5</f>
        <v>600</v>
      </c>
      <c r="E6" s="9">
        <f>2*E5</f>
        <v>180</v>
      </c>
      <c r="F6" s="9">
        <f>2*F5</f>
        <v>50</v>
      </c>
      <c r="G6" s="3">
        <v>500</v>
      </c>
      <c r="H6" s="3"/>
      <c r="I6" s="3"/>
      <c r="J6" s="3"/>
      <c r="K6" s="3"/>
      <c r="L6" s="3"/>
    </row>
    <row r="7" spans="1:12" ht="15.6" x14ac:dyDescent="0.35">
      <c r="A7" s="1" t="s">
        <v>43</v>
      </c>
      <c r="B7" s="9" t="s">
        <v>1</v>
      </c>
      <c r="C7" s="28">
        <v>200</v>
      </c>
      <c r="D7" s="9">
        <v>100</v>
      </c>
      <c r="E7" s="10">
        <f>D7*E4/D4</f>
        <v>30</v>
      </c>
      <c r="F7" s="10">
        <v>10.5</v>
      </c>
      <c r="G7" s="3">
        <v>80</v>
      </c>
      <c r="H7" s="3"/>
      <c r="I7" s="3"/>
      <c r="J7" s="3"/>
      <c r="K7" s="3"/>
      <c r="L7" s="3"/>
    </row>
    <row r="8" spans="1:12" x14ac:dyDescent="0.25">
      <c r="A8" s="1" t="s">
        <v>44</v>
      </c>
      <c r="B8" s="9" t="s">
        <v>2</v>
      </c>
      <c r="C8" s="28">
        <v>350</v>
      </c>
      <c r="D8" s="9">
        <v>350</v>
      </c>
      <c r="E8" s="10">
        <v>100</v>
      </c>
      <c r="F8" s="10">
        <v>80</v>
      </c>
      <c r="G8" s="3">
        <v>350</v>
      </c>
      <c r="H8" s="3"/>
      <c r="I8" s="3"/>
      <c r="J8" s="3"/>
      <c r="K8" s="3"/>
      <c r="L8" s="3"/>
    </row>
    <row r="9" spans="1:12" ht="15.6" x14ac:dyDescent="0.35">
      <c r="A9" s="1" t="s">
        <v>45</v>
      </c>
      <c r="B9" s="9" t="s">
        <v>3</v>
      </c>
      <c r="C9" s="28">
        <v>0.5</v>
      </c>
      <c r="D9" s="9">
        <v>0.7</v>
      </c>
      <c r="E9" s="10">
        <v>0.49</v>
      </c>
      <c r="F9" s="10">
        <v>0.3</v>
      </c>
      <c r="G9" s="3">
        <v>0.7</v>
      </c>
      <c r="H9" s="3"/>
      <c r="I9" s="3"/>
      <c r="J9" s="3"/>
      <c r="K9" s="3"/>
      <c r="L9" s="3"/>
    </row>
    <row r="10" spans="1:12" ht="18" x14ac:dyDescent="0.35">
      <c r="A10" s="1" t="s">
        <v>46</v>
      </c>
      <c r="B10" s="9" t="s">
        <v>34</v>
      </c>
      <c r="C10" s="28">
        <v>3.9</v>
      </c>
      <c r="D10" s="9">
        <v>3.9</v>
      </c>
      <c r="E10" s="10">
        <v>3.9</v>
      </c>
      <c r="F10" s="10">
        <v>3.9</v>
      </c>
      <c r="G10" s="3">
        <v>3.9</v>
      </c>
      <c r="H10" s="3"/>
      <c r="I10" s="3"/>
      <c r="J10" s="3"/>
      <c r="K10" s="3"/>
      <c r="L10" s="3"/>
    </row>
    <row r="11" spans="1:12" ht="14.45" x14ac:dyDescent="0.3">
      <c r="A11" s="1" t="s">
        <v>24</v>
      </c>
      <c r="B11" s="9" t="s">
        <v>3</v>
      </c>
      <c r="C11" s="28">
        <v>5</v>
      </c>
      <c r="D11" s="9">
        <v>5</v>
      </c>
      <c r="E11" s="11">
        <v>1.8</v>
      </c>
      <c r="F11" s="10">
        <v>1</v>
      </c>
      <c r="G11" s="3">
        <v>5</v>
      </c>
      <c r="H11" s="3"/>
      <c r="I11" s="3"/>
      <c r="J11" s="3"/>
      <c r="K11" s="3"/>
      <c r="L11" s="3"/>
    </row>
    <row r="17" spans="1:12" ht="14.45" x14ac:dyDescent="0.3">
      <c r="A17" s="22" t="s">
        <v>28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</row>
    <row r="18" spans="1:12" ht="14.45" x14ac:dyDescent="0.3">
      <c r="C18" s="9">
        <v>1</v>
      </c>
      <c r="D18" s="9">
        <v>2</v>
      </c>
      <c r="E18" s="9">
        <v>3</v>
      </c>
      <c r="F18" s="9">
        <v>4</v>
      </c>
      <c r="G18" s="10">
        <v>5</v>
      </c>
      <c r="H18" s="10">
        <v>6</v>
      </c>
      <c r="I18" s="10">
        <v>7</v>
      </c>
      <c r="J18" s="10">
        <v>8</v>
      </c>
      <c r="K18" s="10">
        <v>9</v>
      </c>
      <c r="L18" s="10">
        <v>10</v>
      </c>
    </row>
    <row r="19" spans="1:12" ht="14.45" x14ac:dyDescent="0.3">
      <c r="A19" s="9" t="s">
        <v>35</v>
      </c>
      <c r="B19" s="9" t="s">
        <v>36</v>
      </c>
      <c r="C19" s="28" t="str">
        <f>C3</f>
        <v>ND</v>
      </c>
      <c r="D19" s="9" t="str">
        <f t="shared" ref="D19:F19" si="0">D3</f>
        <v>AMI</v>
      </c>
      <c r="E19" s="9" t="str">
        <f t="shared" si="0"/>
        <v>TSMC-like</v>
      </c>
      <c r="F19" s="9" t="str">
        <f t="shared" si="0"/>
        <v>Book</v>
      </c>
      <c r="G19" s="3"/>
      <c r="H19" s="3"/>
      <c r="I19" s="3"/>
      <c r="J19" s="3"/>
      <c r="K19" s="3"/>
      <c r="L19" s="3"/>
    </row>
    <row r="20" spans="1:12" ht="14.45" x14ac:dyDescent="0.3">
      <c r="A20" s="9" t="str">
        <f>A4</f>
        <v>Technology Node</v>
      </c>
      <c r="B20" s="9" t="str">
        <f t="shared" ref="B20" si="1">B4</f>
        <v>nm</v>
      </c>
      <c r="C20" s="28">
        <f>C4</f>
        <v>2000</v>
      </c>
      <c r="D20" s="9">
        <f t="shared" ref="D20:F20" si="2">D4</f>
        <v>600</v>
      </c>
      <c r="E20" s="9">
        <f t="shared" si="2"/>
        <v>180</v>
      </c>
      <c r="F20" s="9">
        <f t="shared" si="2"/>
        <v>65</v>
      </c>
      <c r="G20" s="3"/>
      <c r="H20" s="3"/>
      <c r="I20" s="3"/>
      <c r="J20" s="3"/>
      <c r="K20" s="3"/>
      <c r="L20" s="3"/>
    </row>
    <row r="21" spans="1:12" ht="14.45" x14ac:dyDescent="0.3">
      <c r="A21" s="1" t="str">
        <f>A5</f>
        <v>λ: Lambda</v>
      </c>
      <c r="B21" s="9" t="s">
        <v>0</v>
      </c>
      <c r="C21" s="28">
        <f>C5</f>
        <v>1000</v>
      </c>
      <c r="D21" s="9">
        <v>300</v>
      </c>
      <c r="E21" s="10">
        <v>90</v>
      </c>
      <c r="F21" s="10">
        <v>25</v>
      </c>
      <c r="G21" s="3"/>
      <c r="H21" s="3"/>
      <c r="I21" s="3"/>
      <c r="J21" s="3"/>
      <c r="K21" s="3"/>
      <c r="L21" s="3"/>
    </row>
    <row r="22" spans="1:12" ht="14.45" x14ac:dyDescent="0.3">
      <c r="A22" s="1" t="str">
        <f t="shared" ref="A22:A27" si="3">A6</f>
        <v>L: Length</v>
      </c>
      <c r="B22" s="9" t="s">
        <v>0</v>
      </c>
      <c r="C22" s="28">
        <f t="shared" ref="C22:C27" si="4">C6</f>
        <v>2000</v>
      </c>
      <c r="D22" s="9">
        <v>600</v>
      </c>
      <c r="E22" s="9">
        <v>180</v>
      </c>
      <c r="F22" s="9">
        <v>50</v>
      </c>
      <c r="G22" s="3"/>
      <c r="H22" s="3"/>
      <c r="I22" s="3"/>
      <c r="J22" s="3"/>
      <c r="K22" s="3"/>
      <c r="L22" s="3"/>
    </row>
    <row r="23" spans="1:12" ht="14.45" x14ac:dyDescent="0.3">
      <c r="A23" s="1" t="str">
        <f t="shared" si="3"/>
        <v>tox: gate oxide</v>
      </c>
      <c r="B23" s="9" t="s">
        <v>1</v>
      </c>
      <c r="C23" s="28">
        <f t="shared" si="4"/>
        <v>200</v>
      </c>
      <c r="D23" s="9">
        <v>100</v>
      </c>
      <c r="E23" s="10">
        <v>30</v>
      </c>
      <c r="F23" s="10">
        <v>10.5</v>
      </c>
      <c r="G23" s="3"/>
      <c r="H23" s="3"/>
      <c r="I23" s="3"/>
      <c r="J23" s="3"/>
      <c r="K23" s="3"/>
      <c r="L23" s="3"/>
    </row>
    <row r="24" spans="1:12" ht="14.45" x14ac:dyDescent="0.3">
      <c r="A24" s="1" t="str">
        <f t="shared" si="3"/>
        <v>μ: mobility</v>
      </c>
      <c r="B24" s="9" t="s">
        <v>2</v>
      </c>
      <c r="C24" s="28">
        <f>2*C8</f>
        <v>700</v>
      </c>
      <c r="D24" s="9">
        <v>120</v>
      </c>
      <c r="E24" s="10">
        <f>E8/2</f>
        <v>50</v>
      </c>
      <c r="F24" s="10">
        <v>40</v>
      </c>
      <c r="G24" s="3"/>
      <c r="H24" s="3"/>
      <c r="I24" s="3"/>
      <c r="J24" s="3"/>
      <c r="K24" s="3"/>
      <c r="L24" s="3"/>
    </row>
    <row r="25" spans="1:12" ht="14.45" x14ac:dyDescent="0.3">
      <c r="A25" s="1" t="str">
        <f t="shared" si="3"/>
        <v xml:space="preserve">Vt: threshold </v>
      </c>
      <c r="B25" s="9" t="s">
        <v>3</v>
      </c>
      <c r="C25" s="28">
        <f>-C9</f>
        <v>-0.5</v>
      </c>
      <c r="D25" s="9">
        <v>-0.7</v>
      </c>
      <c r="E25" s="10">
        <f>-E9</f>
        <v>-0.49</v>
      </c>
      <c r="F25" s="10">
        <v>-0.3</v>
      </c>
      <c r="G25" s="3"/>
      <c r="H25" s="3"/>
      <c r="I25" s="3"/>
      <c r="J25" s="3"/>
      <c r="K25" s="3"/>
      <c r="L25" s="3"/>
    </row>
    <row r="26" spans="1:12" ht="14.45" x14ac:dyDescent="0.3">
      <c r="A26" s="1" t="str">
        <f t="shared" si="3"/>
        <v>εr: relative perm thinox</v>
      </c>
      <c r="B26" s="9" t="s">
        <v>34</v>
      </c>
      <c r="C26" s="28">
        <f t="shared" si="4"/>
        <v>3.9</v>
      </c>
      <c r="D26" s="9">
        <v>3.9</v>
      </c>
      <c r="E26" s="10">
        <v>3.9</v>
      </c>
      <c r="F26" s="10">
        <v>3.9</v>
      </c>
      <c r="G26" s="3"/>
      <c r="H26" s="3"/>
      <c r="I26" s="3"/>
      <c r="J26" s="3"/>
      <c r="K26" s="3"/>
      <c r="L26" s="3"/>
    </row>
    <row r="27" spans="1:12" ht="14.45" x14ac:dyDescent="0.3">
      <c r="A27" s="1" t="str">
        <f t="shared" si="3"/>
        <v>Vmax (aka Vdd)</v>
      </c>
      <c r="B27" s="9" t="s">
        <v>3</v>
      </c>
      <c r="C27" s="28">
        <f t="shared" si="4"/>
        <v>5</v>
      </c>
      <c r="D27" s="9">
        <v>5</v>
      </c>
      <c r="E27" s="10">
        <v>1.8</v>
      </c>
      <c r="F27" s="10">
        <v>1</v>
      </c>
      <c r="G27" s="3"/>
      <c r="H27" s="3"/>
      <c r="I27" s="3"/>
      <c r="J27" s="3"/>
      <c r="K27" s="3"/>
      <c r="L27" s="3"/>
    </row>
    <row r="31" spans="1:12" ht="14.45" x14ac:dyDescent="0.3">
      <c r="A31" s="22" t="s">
        <v>38</v>
      </c>
      <c r="B31" s="23"/>
      <c r="C31" s="24"/>
    </row>
    <row r="32" spans="1:12" ht="14.45" x14ac:dyDescent="0.3">
      <c r="A32" s="1" t="s">
        <v>4</v>
      </c>
      <c r="B32" s="4">
        <v>8.8500000000000002E-14</v>
      </c>
      <c r="C32" s="1" t="s">
        <v>5</v>
      </c>
    </row>
    <row r="33" spans="1:3" ht="14.45" x14ac:dyDescent="0.3">
      <c r="A33" s="1" t="s">
        <v>6</v>
      </c>
      <c r="B33" s="4">
        <v>1E-8</v>
      </c>
      <c r="C33" s="1" t="s">
        <v>7</v>
      </c>
    </row>
  </sheetData>
  <mergeCells count="3">
    <mergeCell ref="A1:L1"/>
    <mergeCell ref="A17:L17"/>
    <mergeCell ref="A31:C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workbookViewId="0">
      <selection activeCell="C3" sqref="C3"/>
    </sheetView>
  </sheetViews>
  <sheetFormatPr defaultColWidth="9.140625" defaultRowHeight="15" x14ac:dyDescent="0.25"/>
  <cols>
    <col min="1" max="1" width="22" style="1" customWidth="1"/>
    <col min="2" max="2" width="9.140625" style="2"/>
    <col min="3" max="16384" width="9.140625" style="1"/>
  </cols>
  <sheetData>
    <row r="1" spans="1:13" ht="14.45" x14ac:dyDescent="0.3">
      <c r="A1" s="7" t="s">
        <v>37</v>
      </c>
      <c r="B1" s="3">
        <v>4</v>
      </c>
      <c r="C1" s="9" t="str">
        <f>B4</f>
        <v>Book</v>
      </c>
      <c r="F1" s="10"/>
      <c r="G1" s="10"/>
      <c r="H1" s="10"/>
      <c r="I1" s="10"/>
      <c r="J1" s="10"/>
      <c r="K1" s="10"/>
      <c r="L1" s="10"/>
      <c r="M1" s="10"/>
    </row>
    <row r="2" spans="1:13" s="9" customFormat="1" ht="14.45" x14ac:dyDescent="0.3">
      <c r="A2" s="9" t="s">
        <v>40</v>
      </c>
      <c r="B2" s="3">
        <v>2</v>
      </c>
      <c r="C2" s="3">
        <v>2</v>
      </c>
      <c r="F2" s="10"/>
      <c r="G2" s="10"/>
      <c r="H2" s="10"/>
      <c r="I2" s="10"/>
      <c r="J2" s="10"/>
      <c r="K2" s="10"/>
      <c r="L2" s="10"/>
      <c r="M2" s="10"/>
    </row>
    <row r="3" spans="1:13" s="9" customFormat="1" ht="14.45" x14ac:dyDescent="0.3">
      <c r="B3" s="9" t="s">
        <v>20</v>
      </c>
      <c r="C3" s="9" t="s">
        <v>21</v>
      </c>
      <c r="F3" s="10"/>
      <c r="G3" s="10"/>
      <c r="H3" s="10"/>
      <c r="I3" s="10"/>
      <c r="J3" s="10"/>
      <c r="K3" s="10"/>
      <c r="L3" s="10"/>
      <c r="M3" s="10"/>
    </row>
    <row r="4" spans="1:13" ht="14.45" x14ac:dyDescent="0.3">
      <c r="A4" s="1" t="s">
        <v>39</v>
      </c>
      <c r="B4" s="10" t="str">
        <f>INDEX('Parameter Sets'!C3:L3,$B$1)</f>
        <v>Book</v>
      </c>
      <c r="C4" s="10" t="str">
        <f>INDEX('Parameter Sets'!C19:L19,$B$1)</f>
        <v>Book</v>
      </c>
      <c r="F4" s="10"/>
      <c r="G4" s="10"/>
      <c r="H4" s="10"/>
      <c r="I4" s="10"/>
      <c r="J4" s="10"/>
      <c r="K4" s="10"/>
      <c r="L4" s="10"/>
      <c r="M4" s="10"/>
    </row>
    <row r="5" spans="1:13" ht="14.45" x14ac:dyDescent="0.3">
      <c r="A5" s="1" t="s">
        <v>48</v>
      </c>
      <c r="B5" s="10">
        <f>INDEX('Parameter Sets'!C4:L4,$B$1)</f>
        <v>65</v>
      </c>
      <c r="C5" s="10">
        <f>INDEX('Parameter Sets'!C20:L20,$B$1)</f>
        <v>65</v>
      </c>
      <c r="D5" s="1" t="s">
        <v>0</v>
      </c>
      <c r="F5" s="10"/>
      <c r="G5" s="10"/>
      <c r="H5" s="10"/>
      <c r="I5" s="10"/>
      <c r="J5" s="10"/>
      <c r="K5" s="10"/>
      <c r="L5" s="10"/>
      <c r="M5" s="10"/>
    </row>
    <row r="6" spans="1:13" x14ac:dyDescent="0.25">
      <c r="A6" s="1" t="s">
        <v>42</v>
      </c>
      <c r="B6" s="10">
        <f>INDEX('Parameter Sets'!C5:L5,$B$1)</f>
        <v>25</v>
      </c>
      <c r="C6" s="10">
        <f>INDEX('Parameter Sets'!C21:L21,$B$1)</f>
        <v>25</v>
      </c>
      <c r="D6" s="1" t="s">
        <v>0</v>
      </c>
      <c r="F6" s="19"/>
      <c r="G6" s="10"/>
      <c r="H6" s="10"/>
      <c r="I6" s="19"/>
      <c r="J6" s="19"/>
      <c r="K6" s="10"/>
      <c r="L6" s="10"/>
      <c r="M6" s="19"/>
    </row>
    <row r="7" spans="1:13" ht="14.45" x14ac:dyDescent="0.3">
      <c r="A7" s="20" t="s">
        <v>41</v>
      </c>
      <c r="B7" s="10">
        <f>INDEX('Parameter Sets'!C6:L6,$B$1)</f>
        <v>50</v>
      </c>
      <c r="C7" s="10">
        <f>INDEX('Parameter Sets'!C22:L22,$B$1)</f>
        <v>50</v>
      </c>
      <c r="D7" s="20" t="s">
        <v>0</v>
      </c>
      <c r="F7" s="19"/>
      <c r="G7" s="10"/>
      <c r="H7" s="10"/>
      <c r="I7" s="19"/>
      <c r="J7" s="19"/>
      <c r="K7" s="10"/>
      <c r="L7" s="10"/>
      <c r="M7" s="19"/>
    </row>
    <row r="8" spans="1:13" ht="15.6" x14ac:dyDescent="0.35">
      <c r="A8" s="1" t="s">
        <v>43</v>
      </c>
      <c r="B8" s="10">
        <f>INDEX('Parameter Sets'!C7:L7,$B$1)</f>
        <v>10.5</v>
      </c>
      <c r="C8" s="10">
        <f>INDEX('Parameter Sets'!C23:L23,$B$1)</f>
        <v>10.5</v>
      </c>
      <c r="D8" s="1" t="s">
        <v>1</v>
      </c>
      <c r="F8" s="19"/>
      <c r="G8" s="10"/>
      <c r="H8" s="10"/>
      <c r="I8" s="19"/>
      <c r="J8" s="19"/>
      <c r="K8" s="10"/>
      <c r="L8" s="10"/>
      <c r="M8" s="19"/>
    </row>
    <row r="9" spans="1:13" x14ac:dyDescent="0.25">
      <c r="A9" s="1" t="s">
        <v>44</v>
      </c>
      <c r="B9" s="10">
        <f>INDEX('Parameter Sets'!C8:L8,$B$1)</f>
        <v>80</v>
      </c>
      <c r="C9" s="10">
        <f>INDEX('Parameter Sets'!C24:L24,$B$1)</f>
        <v>40</v>
      </c>
      <c r="D9" s="1" t="s">
        <v>2</v>
      </c>
      <c r="F9" s="19"/>
      <c r="G9" s="10"/>
      <c r="H9" s="10"/>
      <c r="I9" s="19"/>
      <c r="J9" s="19"/>
      <c r="K9" s="10"/>
      <c r="L9" s="10"/>
      <c r="M9" s="19"/>
    </row>
    <row r="10" spans="1:13" ht="15.6" x14ac:dyDescent="0.35">
      <c r="A10" s="1" t="s">
        <v>45</v>
      </c>
      <c r="B10" s="10">
        <f>INDEX('Parameter Sets'!C9:L9,$B$1)</f>
        <v>0.3</v>
      </c>
      <c r="C10" s="10">
        <f>INDEX('Parameter Sets'!C25:L25,$B$1)</f>
        <v>-0.3</v>
      </c>
      <c r="D10" s="1" t="s">
        <v>3</v>
      </c>
      <c r="F10" s="19"/>
      <c r="G10" s="10"/>
      <c r="H10" s="10"/>
      <c r="I10" s="19"/>
      <c r="J10" s="19"/>
      <c r="K10" s="10"/>
      <c r="L10" s="10"/>
      <c r="M10" s="19"/>
    </row>
    <row r="11" spans="1:13" ht="18" x14ac:dyDescent="0.35">
      <c r="A11" s="1" t="s">
        <v>46</v>
      </c>
      <c r="B11" s="10">
        <f>INDEX('Parameter Sets'!C10:L10,$B$1)</f>
        <v>3.9</v>
      </c>
      <c r="C11" s="10">
        <f>INDEX('Parameter Sets'!C26:L26,$B$1)</f>
        <v>3.9</v>
      </c>
      <c r="D11" s="1" t="s">
        <v>34</v>
      </c>
      <c r="F11" s="19"/>
      <c r="G11" s="10"/>
      <c r="H11" s="10"/>
      <c r="I11" s="19"/>
      <c r="J11" s="19"/>
      <c r="K11" s="10"/>
      <c r="L11" s="10"/>
      <c r="M11" s="19"/>
    </row>
    <row r="12" spans="1:13" ht="14.45" x14ac:dyDescent="0.3">
      <c r="A12" s="1" t="s">
        <v>24</v>
      </c>
      <c r="B12" s="10">
        <f>INDEX('Parameter Sets'!C11:L11,$B$1)</f>
        <v>1</v>
      </c>
      <c r="C12" s="10">
        <f>INDEX('Parameter Sets'!C27:L27,$B$1)</f>
        <v>1</v>
      </c>
      <c r="D12" s="1" t="s">
        <v>3</v>
      </c>
      <c r="F12" s="19"/>
      <c r="G12" s="11"/>
      <c r="H12" s="10"/>
      <c r="I12" s="19"/>
      <c r="J12" s="19"/>
      <c r="K12" s="10"/>
      <c r="L12" s="10"/>
      <c r="M12" s="19"/>
    </row>
    <row r="13" spans="1:13" s="9" customFormat="1" ht="14.45" x14ac:dyDescent="0.3">
      <c r="F13" s="10"/>
      <c r="G13" s="10"/>
      <c r="H13" s="10"/>
      <c r="I13" s="10"/>
      <c r="J13" s="10"/>
      <c r="K13" s="10"/>
      <c r="L13" s="10"/>
      <c r="M13" s="10"/>
    </row>
    <row r="15" spans="1:13" ht="14.45" x14ac:dyDescent="0.3">
      <c r="A15" s="1" t="s">
        <v>16</v>
      </c>
    </row>
    <row r="16" spans="1:13" ht="14.45" x14ac:dyDescent="0.3">
      <c r="A16" s="1" t="s">
        <v>8</v>
      </c>
      <c r="B16" s="2">
        <f>2*B6</f>
        <v>50</v>
      </c>
      <c r="C16" s="2">
        <f>2*C6</f>
        <v>50</v>
      </c>
      <c r="D16" s="1" t="s">
        <v>0</v>
      </c>
    </row>
    <row r="17" spans="1:12" ht="14.45" x14ac:dyDescent="0.3">
      <c r="A17" s="1" t="s">
        <v>9</v>
      </c>
      <c r="B17" s="2">
        <f>B7*B2</f>
        <v>100</v>
      </c>
      <c r="C17" s="9">
        <f>C7*C2</f>
        <v>100</v>
      </c>
      <c r="D17" s="1" t="s">
        <v>0</v>
      </c>
    </row>
    <row r="18" spans="1:12" ht="14.45" x14ac:dyDescent="0.3">
      <c r="A18" s="1" t="s">
        <v>33</v>
      </c>
      <c r="B18" s="9">
        <f>B8/10</f>
        <v>1.05</v>
      </c>
      <c r="C18" s="9">
        <f>C8/10</f>
        <v>1.05</v>
      </c>
      <c r="D18" s="1" t="s">
        <v>0</v>
      </c>
    </row>
    <row r="19" spans="1:12" ht="14.45" x14ac:dyDescent="0.3">
      <c r="A19" s="1" t="s">
        <v>13</v>
      </c>
      <c r="B19" s="5">
        <f>B11*'Parameter Sets'!$B$32</f>
        <v>3.4515E-13</v>
      </c>
      <c r="C19" s="5">
        <f>C11*'Parameter Sets'!$B$32</f>
        <v>3.4515E-13</v>
      </c>
      <c r="D19" s="1" t="s">
        <v>5</v>
      </c>
    </row>
    <row r="20" spans="1:12" ht="14.45" x14ac:dyDescent="0.3">
      <c r="A20" s="1" t="s">
        <v>10</v>
      </c>
      <c r="B20" s="5">
        <f>B19/(B8*'Parameter Sets'!$B$33)</f>
        <v>3.287142857142857E-6</v>
      </c>
      <c r="C20" s="5">
        <f>C19/(C8*'Parameter Sets'!$B$33)</f>
        <v>3.287142857142857E-6</v>
      </c>
      <c r="D20" s="1" t="s">
        <v>11</v>
      </c>
    </row>
    <row r="21" spans="1:12" ht="14.45" x14ac:dyDescent="0.3">
      <c r="A21" s="1" t="s">
        <v>12</v>
      </c>
      <c r="B21" s="5">
        <f>B9*B20*B17/B16</f>
        <v>5.2594285714285707E-4</v>
      </c>
      <c r="C21" s="5">
        <f>C9*C20*C17/C16</f>
        <v>2.6297142857142854E-4</v>
      </c>
      <c r="D21" s="1" t="s">
        <v>14</v>
      </c>
    </row>
    <row r="22" spans="1:12" ht="14.45" x14ac:dyDescent="0.3">
      <c r="A22" s="1" t="s">
        <v>12</v>
      </c>
      <c r="B22" s="6">
        <f>B21*1000000</f>
        <v>525.94285714285706</v>
      </c>
      <c r="C22" s="6">
        <f>C21*1000000</f>
        <v>262.97142857142853</v>
      </c>
      <c r="D22" s="1" t="s">
        <v>32</v>
      </c>
    </row>
    <row r="23" spans="1:12" ht="14.45" x14ac:dyDescent="0.3">
      <c r="A23" s="1" t="s">
        <v>51</v>
      </c>
      <c r="B23" s="6">
        <f>B20*B9*1000000</f>
        <v>262.97142857142853</v>
      </c>
      <c r="C23" s="6">
        <f>C20*C9*1000000</f>
        <v>131.48571428571427</v>
      </c>
      <c r="D23" s="1" t="s">
        <v>32</v>
      </c>
    </row>
    <row r="25" spans="1:12" ht="14.45" x14ac:dyDescent="0.3">
      <c r="A25" s="1" t="s">
        <v>19</v>
      </c>
      <c r="B25" s="2">
        <f>B12/10</f>
        <v>0.1</v>
      </c>
      <c r="C25" s="1" t="s">
        <v>3</v>
      </c>
    </row>
    <row r="26" spans="1:12" ht="14.45" x14ac:dyDescent="0.3">
      <c r="A26" s="1" t="s">
        <v>17</v>
      </c>
      <c r="B26" s="2">
        <f>B25</f>
        <v>0.1</v>
      </c>
      <c r="C26" s="1" t="s">
        <v>3</v>
      </c>
    </row>
    <row r="27" spans="1:12" ht="14.45" x14ac:dyDescent="0.3">
      <c r="B27" s="9" t="str">
        <f>CONCATENATE("Vin=",B30)</f>
        <v>Vin=0</v>
      </c>
      <c r="C27" s="9" t="str">
        <f t="shared" ref="C27:L27" si="0">CONCATENATE("Vin=",C30)</f>
        <v>Vin=0.1</v>
      </c>
      <c r="D27" s="9" t="str">
        <f t="shared" si="0"/>
        <v>Vin=0.2</v>
      </c>
      <c r="E27" s="9" t="str">
        <f t="shared" si="0"/>
        <v>Vin=0.3</v>
      </c>
      <c r="F27" s="9" t="str">
        <f t="shared" si="0"/>
        <v>Vin=0.4</v>
      </c>
      <c r="G27" s="9" t="str">
        <f t="shared" si="0"/>
        <v>Vin=0.5</v>
      </c>
      <c r="H27" s="9" t="str">
        <f t="shared" si="0"/>
        <v>Vin=0.6</v>
      </c>
      <c r="I27" s="9" t="str">
        <f t="shared" si="0"/>
        <v>Vin=0.7</v>
      </c>
      <c r="J27" s="9" t="str">
        <f t="shared" si="0"/>
        <v>Vin=0.8</v>
      </c>
      <c r="K27" s="9" t="str">
        <f t="shared" si="0"/>
        <v>Vin=0.9</v>
      </c>
      <c r="L27" s="9" t="str">
        <f t="shared" si="0"/>
        <v>Vin=1</v>
      </c>
    </row>
    <row r="28" spans="1:12" ht="14.45" x14ac:dyDescent="0.3">
      <c r="A28" s="21" t="s">
        <v>60</v>
      </c>
      <c r="B28" s="2">
        <f>B30-$B$10</f>
        <v>-0.3</v>
      </c>
      <c r="C28" s="2">
        <f t="shared" ref="C28:L28" si="1">C30-$B$10</f>
        <v>-0.19999999999999998</v>
      </c>
      <c r="D28" s="2">
        <f t="shared" si="1"/>
        <v>-9.9999999999999978E-2</v>
      </c>
      <c r="E28" s="2">
        <f t="shared" si="1"/>
        <v>0</v>
      </c>
      <c r="F28" s="2">
        <f t="shared" si="1"/>
        <v>0.10000000000000003</v>
      </c>
      <c r="G28" s="2">
        <f t="shared" si="1"/>
        <v>0.2</v>
      </c>
      <c r="H28" s="2">
        <f t="shared" si="1"/>
        <v>0.3</v>
      </c>
      <c r="I28" s="9">
        <f t="shared" si="1"/>
        <v>0.39999999999999997</v>
      </c>
      <c r="J28" s="9">
        <f t="shared" si="1"/>
        <v>0.49999999999999994</v>
      </c>
      <c r="K28" s="9">
        <f t="shared" si="1"/>
        <v>0.59999999999999987</v>
      </c>
      <c r="L28" s="9">
        <f t="shared" si="1"/>
        <v>0.7</v>
      </c>
    </row>
    <row r="29" spans="1:12" ht="14.45" x14ac:dyDescent="0.3">
      <c r="A29" s="1" t="s">
        <v>22</v>
      </c>
      <c r="B29" s="22" t="s">
        <v>15</v>
      </c>
      <c r="C29" s="23"/>
      <c r="D29" s="23"/>
      <c r="E29" s="23"/>
      <c r="F29" s="23"/>
      <c r="G29" s="23"/>
      <c r="H29" s="23"/>
      <c r="I29" s="25"/>
      <c r="J29" s="25"/>
      <c r="K29" s="25"/>
      <c r="L29" s="26"/>
    </row>
    <row r="30" spans="1:12" ht="14.45" x14ac:dyDescent="0.3">
      <c r="A30" s="2" t="s">
        <v>18</v>
      </c>
      <c r="B30" s="2">
        <v>0</v>
      </c>
      <c r="C30" s="2">
        <f>B30+$B$26</f>
        <v>0.1</v>
      </c>
      <c r="D30" s="2">
        <f t="shared" ref="D30:G30" si="2">C30+$B$26</f>
        <v>0.2</v>
      </c>
      <c r="E30" s="2">
        <f t="shared" si="2"/>
        <v>0.30000000000000004</v>
      </c>
      <c r="F30" s="2">
        <f t="shared" si="2"/>
        <v>0.4</v>
      </c>
      <c r="G30" s="2">
        <f t="shared" si="2"/>
        <v>0.5</v>
      </c>
      <c r="H30" s="2">
        <f>G30+$B$26</f>
        <v>0.6</v>
      </c>
      <c r="I30" s="9">
        <f t="shared" ref="I30:L30" si="3">H30+$B$26</f>
        <v>0.7</v>
      </c>
      <c r="J30" s="9">
        <f t="shared" si="3"/>
        <v>0.79999999999999993</v>
      </c>
      <c r="K30" s="9">
        <f t="shared" si="3"/>
        <v>0.89999999999999991</v>
      </c>
      <c r="L30" s="9">
        <f t="shared" si="3"/>
        <v>0.99999999999999989</v>
      </c>
    </row>
    <row r="31" spans="1:12" ht="14.45" x14ac:dyDescent="0.3">
      <c r="A31" s="2">
        <v>0</v>
      </c>
      <c r="B31" s="8">
        <f t="shared" ref="B31:L41" si="4">IF(B$30&lt;$B$10,0,IF($A31&lt;B$28,$B$22*(B$28-($A31/2))*$A31,$B$22*(B$28^2)/2))</f>
        <v>0</v>
      </c>
      <c r="C31" s="8">
        <f t="shared" si="4"/>
        <v>0</v>
      </c>
      <c r="D31" s="8">
        <f t="shared" si="4"/>
        <v>0</v>
      </c>
      <c r="E31" s="8">
        <f t="shared" si="4"/>
        <v>0</v>
      </c>
      <c r="F31" s="8">
        <f t="shared" si="4"/>
        <v>0</v>
      </c>
      <c r="G31" s="8">
        <f t="shared" si="4"/>
        <v>0</v>
      </c>
      <c r="H31" s="8">
        <f t="shared" si="4"/>
        <v>0</v>
      </c>
      <c r="I31" s="8">
        <f t="shared" si="4"/>
        <v>0</v>
      </c>
      <c r="J31" s="8">
        <f t="shared" si="4"/>
        <v>0</v>
      </c>
      <c r="K31" s="8">
        <f t="shared" si="4"/>
        <v>0</v>
      </c>
      <c r="L31" s="8">
        <f t="shared" si="4"/>
        <v>0</v>
      </c>
    </row>
    <row r="32" spans="1:12" ht="14.45" x14ac:dyDescent="0.3">
      <c r="A32" s="2">
        <f>A31+$B$25</f>
        <v>0.1</v>
      </c>
      <c r="B32" s="8">
        <f t="shared" si="4"/>
        <v>0</v>
      </c>
      <c r="C32" s="8">
        <f t="shared" si="4"/>
        <v>0</v>
      </c>
      <c r="D32" s="8">
        <f t="shared" si="4"/>
        <v>0</v>
      </c>
      <c r="E32" s="8">
        <f t="shared" si="4"/>
        <v>0</v>
      </c>
      <c r="F32" s="8">
        <f t="shared" si="4"/>
        <v>2.6297142857142872</v>
      </c>
      <c r="G32" s="8">
        <f t="shared" si="4"/>
        <v>7.8891428571428577</v>
      </c>
      <c r="H32" s="8">
        <f t="shared" si="4"/>
        <v>13.148571428571428</v>
      </c>
      <c r="I32" s="8">
        <f t="shared" si="4"/>
        <v>18.407999999999998</v>
      </c>
      <c r="J32" s="8">
        <f t="shared" si="4"/>
        <v>23.667428571428566</v>
      </c>
      <c r="K32" s="8">
        <f t="shared" si="4"/>
        <v>28.926857142857131</v>
      </c>
      <c r="L32" s="8">
        <f t="shared" si="4"/>
        <v>34.186285714285702</v>
      </c>
    </row>
    <row r="33" spans="1:12" ht="14.45" x14ac:dyDescent="0.3">
      <c r="A33" s="2">
        <f t="shared" ref="A33:A41" si="5">A32+$B$25</f>
        <v>0.2</v>
      </c>
      <c r="B33" s="8">
        <f t="shared" si="4"/>
        <v>0</v>
      </c>
      <c r="C33" s="8">
        <f t="shared" si="4"/>
        <v>0</v>
      </c>
      <c r="D33" s="8">
        <f t="shared" si="4"/>
        <v>0</v>
      </c>
      <c r="E33" s="8">
        <f t="shared" si="4"/>
        <v>0</v>
      </c>
      <c r="F33" s="8">
        <f t="shared" si="4"/>
        <v>2.6297142857142872</v>
      </c>
      <c r="G33" s="8">
        <f t="shared" si="4"/>
        <v>10.518857142857144</v>
      </c>
      <c r="H33" s="8">
        <f t="shared" si="4"/>
        <v>21.037714285714284</v>
      </c>
      <c r="I33" s="8">
        <f t="shared" si="4"/>
        <v>31.55657142857142</v>
      </c>
      <c r="J33" s="8">
        <f t="shared" si="4"/>
        <v>42.07542857142856</v>
      </c>
      <c r="K33" s="8">
        <f t="shared" si="4"/>
        <v>52.594285714285697</v>
      </c>
      <c r="L33" s="8">
        <f t="shared" si="4"/>
        <v>63.113142857142854</v>
      </c>
    </row>
    <row r="34" spans="1:12" ht="14.45" x14ac:dyDescent="0.3">
      <c r="A34" s="2">
        <f t="shared" si="5"/>
        <v>0.30000000000000004</v>
      </c>
      <c r="B34" s="8">
        <f t="shared" si="4"/>
        <v>0</v>
      </c>
      <c r="C34" s="8">
        <f t="shared" si="4"/>
        <v>0</v>
      </c>
      <c r="D34" s="8">
        <f t="shared" si="4"/>
        <v>0</v>
      </c>
      <c r="E34" s="8">
        <f t="shared" si="4"/>
        <v>0</v>
      </c>
      <c r="F34" s="8">
        <f t="shared" si="4"/>
        <v>2.6297142857142872</v>
      </c>
      <c r="G34" s="8">
        <f t="shared" si="4"/>
        <v>10.518857142857144</v>
      </c>
      <c r="H34" s="8">
        <f t="shared" si="4"/>
        <v>23.667428571428566</v>
      </c>
      <c r="I34" s="8">
        <f t="shared" si="4"/>
        <v>39.445714285714274</v>
      </c>
      <c r="J34" s="8">
        <f t="shared" si="4"/>
        <v>55.22399999999999</v>
      </c>
      <c r="K34" s="8">
        <f t="shared" si="4"/>
        <v>71.002285714285691</v>
      </c>
      <c r="L34" s="8">
        <f t="shared" si="4"/>
        <v>86.78057142857142</v>
      </c>
    </row>
    <row r="35" spans="1:12" ht="14.45" x14ac:dyDescent="0.3">
      <c r="A35" s="2">
        <f t="shared" si="5"/>
        <v>0.4</v>
      </c>
      <c r="B35" s="8">
        <f t="shared" si="4"/>
        <v>0</v>
      </c>
      <c r="C35" s="8">
        <f t="shared" si="4"/>
        <v>0</v>
      </c>
      <c r="D35" s="8">
        <f t="shared" si="4"/>
        <v>0</v>
      </c>
      <c r="E35" s="8">
        <f t="shared" si="4"/>
        <v>0</v>
      </c>
      <c r="F35" s="8">
        <f t="shared" si="4"/>
        <v>2.6297142857142872</v>
      </c>
      <c r="G35" s="8">
        <f t="shared" si="4"/>
        <v>10.518857142857144</v>
      </c>
      <c r="H35" s="8">
        <f t="shared" si="4"/>
        <v>23.667428571428566</v>
      </c>
      <c r="I35" s="8">
        <f t="shared" si="4"/>
        <v>42.07542857142856</v>
      </c>
      <c r="J35" s="8">
        <f t="shared" si="4"/>
        <v>63.11314285714284</v>
      </c>
      <c r="K35" s="8">
        <f t="shared" si="4"/>
        <v>84.150857142857106</v>
      </c>
      <c r="L35" s="8">
        <f t="shared" si="4"/>
        <v>105.18857142857139</v>
      </c>
    </row>
    <row r="36" spans="1:12" ht="14.45" x14ac:dyDescent="0.3">
      <c r="A36" s="2">
        <f t="shared" si="5"/>
        <v>0.5</v>
      </c>
      <c r="B36" s="8">
        <f t="shared" si="4"/>
        <v>0</v>
      </c>
      <c r="C36" s="8">
        <f t="shared" si="4"/>
        <v>0</v>
      </c>
      <c r="D36" s="8">
        <f t="shared" si="4"/>
        <v>0</v>
      </c>
      <c r="E36" s="8">
        <f t="shared" si="4"/>
        <v>0</v>
      </c>
      <c r="F36" s="8">
        <f t="shared" si="4"/>
        <v>2.6297142857142872</v>
      </c>
      <c r="G36" s="8">
        <f t="shared" si="4"/>
        <v>10.518857142857144</v>
      </c>
      <c r="H36" s="8">
        <f t="shared" si="4"/>
        <v>23.667428571428566</v>
      </c>
      <c r="I36" s="8">
        <f t="shared" si="4"/>
        <v>42.07542857142856</v>
      </c>
      <c r="J36" s="8">
        <f t="shared" si="4"/>
        <v>65.742857142857119</v>
      </c>
      <c r="K36" s="8">
        <f t="shared" si="4"/>
        <v>92.039999999999949</v>
      </c>
      <c r="L36" s="8">
        <f t="shared" si="4"/>
        <v>118.33714285714282</v>
      </c>
    </row>
    <row r="37" spans="1:12" ht="14.45" x14ac:dyDescent="0.3">
      <c r="A37" s="2">
        <f t="shared" si="5"/>
        <v>0.6</v>
      </c>
      <c r="B37" s="8">
        <f t="shared" si="4"/>
        <v>0</v>
      </c>
      <c r="C37" s="8">
        <f t="shared" si="4"/>
        <v>0</v>
      </c>
      <c r="D37" s="8">
        <f t="shared" si="4"/>
        <v>0</v>
      </c>
      <c r="E37" s="8">
        <f t="shared" si="4"/>
        <v>0</v>
      </c>
      <c r="F37" s="8">
        <f t="shared" si="4"/>
        <v>2.6297142857142872</v>
      </c>
      <c r="G37" s="8">
        <f t="shared" si="4"/>
        <v>10.518857142857144</v>
      </c>
      <c r="H37" s="8">
        <f t="shared" si="4"/>
        <v>23.667428571428566</v>
      </c>
      <c r="I37" s="8">
        <f t="shared" si="4"/>
        <v>42.07542857142856</v>
      </c>
      <c r="J37" s="8">
        <f t="shared" si="4"/>
        <v>65.742857142857119</v>
      </c>
      <c r="K37" s="8">
        <f t="shared" si="4"/>
        <v>94.669714285714221</v>
      </c>
      <c r="L37" s="8">
        <f t="shared" si="4"/>
        <v>126.22628571428568</v>
      </c>
    </row>
    <row r="38" spans="1:12" ht="14.45" x14ac:dyDescent="0.3">
      <c r="A38" s="2">
        <f t="shared" si="5"/>
        <v>0.7</v>
      </c>
      <c r="B38" s="8">
        <f t="shared" si="4"/>
        <v>0</v>
      </c>
      <c r="C38" s="8">
        <f t="shared" si="4"/>
        <v>0</v>
      </c>
      <c r="D38" s="8">
        <f t="shared" si="4"/>
        <v>0</v>
      </c>
      <c r="E38" s="8">
        <f t="shared" si="4"/>
        <v>0</v>
      </c>
      <c r="F38" s="8">
        <f t="shared" si="4"/>
        <v>2.6297142857142872</v>
      </c>
      <c r="G38" s="8">
        <f t="shared" si="4"/>
        <v>10.518857142857144</v>
      </c>
      <c r="H38" s="8">
        <f t="shared" si="4"/>
        <v>23.667428571428566</v>
      </c>
      <c r="I38" s="8">
        <f t="shared" si="4"/>
        <v>42.07542857142856</v>
      </c>
      <c r="J38" s="8">
        <f t="shared" si="4"/>
        <v>65.742857142857119</v>
      </c>
      <c r="K38" s="8">
        <f t="shared" si="4"/>
        <v>94.669714285714221</v>
      </c>
      <c r="L38" s="8">
        <f t="shared" si="4"/>
        <v>128.85599999999997</v>
      </c>
    </row>
    <row r="39" spans="1:12" ht="14.45" x14ac:dyDescent="0.3">
      <c r="A39" s="9">
        <f t="shared" si="5"/>
        <v>0.79999999999999993</v>
      </c>
      <c r="B39" s="8">
        <f t="shared" si="4"/>
        <v>0</v>
      </c>
      <c r="C39" s="8">
        <f t="shared" si="4"/>
        <v>0</v>
      </c>
      <c r="D39" s="8">
        <f t="shared" si="4"/>
        <v>0</v>
      </c>
      <c r="E39" s="8">
        <f t="shared" si="4"/>
        <v>0</v>
      </c>
      <c r="F39" s="8">
        <f t="shared" si="4"/>
        <v>2.6297142857142872</v>
      </c>
      <c r="G39" s="8">
        <f t="shared" si="4"/>
        <v>10.518857142857144</v>
      </c>
      <c r="H39" s="8">
        <f t="shared" si="4"/>
        <v>23.667428571428566</v>
      </c>
      <c r="I39" s="8">
        <f t="shared" si="4"/>
        <v>42.07542857142856</v>
      </c>
      <c r="J39" s="8">
        <f t="shared" si="4"/>
        <v>65.742857142857119</v>
      </c>
      <c r="K39" s="8">
        <f t="shared" si="4"/>
        <v>94.669714285714221</v>
      </c>
      <c r="L39" s="8">
        <f t="shared" si="4"/>
        <v>128.85599999999997</v>
      </c>
    </row>
    <row r="40" spans="1:12" ht="14.45" x14ac:dyDescent="0.3">
      <c r="A40" s="9">
        <f t="shared" si="5"/>
        <v>0.89999999999999991</v>
      </c>
      <c r="B40" s="8">
        <f t="shared" si="4"/>
        <v>0</v>
      </c>
      <c r="C40" s="8">
        <f t="shared" si="4"/>
        <v>0</v>
      </c>
      <c r="D40" s="8">
        <f t="shared" si="4"/>
        <v>0</v>
      </c>
      <c r="E40" s="8">
        <f t="shared" si="4"/>
        <v>0</v>
      </c>
      <c r="F40" s="8">
        <f t="shared" si="4"/>
        <v>2.6297142857142872</v>
      </c>
      <c r="G40" s="8">
        <f t="shared" si="4"/>
        <v>10.518857142857144</v>
      </c>
      <c r="H40" s="8">
        <f t="shared" si="4"/>
        <v>23.667428571428566</v>
      </c>
      <c r="I40" s="8">
        <f t="shared" si="4"/>
        <v>42.07542857142856</v>
      </c>
      <c r="J40" s="8">
        <f t="shared" si="4"/>
        <v>65.742857142857119</v>
      </c>
      <c r="K40" s="8">
        <f t="shared" si="4"/>
        <v>94.669714285714221</v>
      </c>
      <c r="L40" s="8">
        <f t="shared" si="4"/>
        <v>128.85599999999997</v>
      </c>
    </row>
    <row r="41" spans="1:12" ht="14.45" x14ac:dyDescent="0.3">
      <c r="A41" s="9">
        <f t="shared" si="5"/>
        <v>0.99999999999999989</v>
      </c>
      <c r="B41" s="8">
        <f t="shared" si="4"/>
        <v>0</v>
      </c>
      <c r="C41" s="8">
        <f t="shared" si="4"/>
        <v>0</v>
      </c>
      <c r="D41" s="8">
        <f t="shared" si="4"/>
        <v>0</v>
      </c>
      <c r="E41" s="8">
        <f t="shared" si="4"/>
        <v>0</v>
      </c>
      <c r="F41" s="8">
        <f t="shared" si="4"/>
        <v>2.6297142857142872</v>
      </c>
      <c r="G41" s="8">
        <f t="shared" si="4"/>
        <v>10.518857142857144</v>
      </c>
      <c r="H41" s="8">
        <f t="shared" si="4"/>
        <v>23.667428571428566</v>
      </c>
      <c r="I41" s="8">
        <f t="shared" si="4"/>
        <v>42.07542857142856</v>
      </c>
      <c r="J41" s="8">
        <f t="shared" si="4"/>
        <v>65.742857142857119</v>
      </c>
      <c r="K41" s="8">
        <f t="shared" si="4"/>
        <v>94.669714285714221</v>
      </c>
      <c r="L41" s="8">
        <f t="shared" si="4"/>
        <v>128.85599999999997</v>
      </c>
    </row>
    <row r="43" spans="1:12" ht="14.45" x14ac:dyDescent="0.3">
      <c r="A43" s="21" t="s">
        <v>60</v>
      </c>
      <c r="B43" s="2">
        <f>B45-$C$10</f>
        <v>0.3</v>
      </c>
      <c r="C43" s="2">
        <f t="shared" ref="C43:L43" si="6">C45-$C$10</f>
        <v>0.19999999999999998</v>
      </c>
      <c r="D43" s="2">
        <f t="shared" si="6"/>
        <v>9.9999999999999978E-2</v>
      </c>
      <c r="E43" s="2">
        <f t="shared" si="6"/>
        <v>0</v>
      </c>
      <c r="F43" s="2">
        <f t="shared" si="6"/>
        <v>-0.10000000000000003</v>
      </c>
      <c r="G43" s="2">
        <f t="shared" si="6"/>
        <v>-0.2</v>
      </c>
      <c r="H43" s="2">
        <f t="shared" si="6"/>
        <v>-0.3</v>
      </c>
      <c r="I43" s="9">
        <f t="shared" si="6"/>
        <v>-0.39999999999999997</v>
      </c>
      <c r="J43" s="9">
        <f t="shared" si="6"/>
        <v>-0.49999999999999994</v>
      </c>
      <c r="K43" s="9">
        <f t="shared" si="6"/>
        <v>-0.59999999999999987</v>
      </c>
      <c r="L43" s="9">
        <f t="shared" si="6"/>
        <v>-0.7</v>
      </c>
    </row>
    <row r="44" spans="1:12" ht="14.45" x14ac:dyDescent="0.3">
      <c r="A44" s="1" t="s">
        <v>25</v>
      </c>
      <c r="B44" s="22" t="s">
        <v>15</v>
      </c>
      <c r="C44" s="23"/>
      <c r="D44" s="23"/>
      <c r="E44" s="23"/>
      <c r="F44" s="23"/>
      <c r="G44" s="23"/>
      <c r="H44" s="23"/>
      <c r="I44" s="25"/>
      <c r="J44" s="25"/>
      <c r="K44" s="25"/>
      <c r="L44" s="26"/>
    </row>
    <row r="45" spans="1:12" ht="14.45" x14ac:dyDescent="0.3">
      <c r="A45" s="2" t="s">
        <v>18</v>
      </c>
      <c r="B45" s="12">
        <f>-B30</f>
        <v>0</v>
      </c>
      <c r="C45" s="12">
        <f t="shared" ref="C45:H45" si="7">-C30</f>
        <v>-0.1</v>
      </c>
      <c r="D45" s="12">
        <f t="shared" si="7"/>
        <v>-0.2</v>
      </c>
      <c r="E45" s="12">
        <f t="shared" si="7"/>
        <v>-0.30000000000000004</v>
      </c>
      <c r="F45" s="12">
        <f t="shared" si="7"/>
        <v>-0.4</v>
      </c>
      <c r="G45" s="12">
        <f t="shared" si="7"/>
        <v>-0.5</v>
      </c>
      <c r="H45" s="12">
        <f t="shared" si="7"/>
        <v>-0.6</v>
      </c>
      <c r="I45" s="12">
        <f t="shared" ref="I45:L45" si="8">-I30</f>
        <v>-0.7</v>
      </c>
      <c r="J45" s="12">
        <f t="shared" si="8"/>
        <v>-0.79999999999999993</v>
      </c>
      <c r="K45" s="12">
        <f t="shared" si="8"/>
        <v>-0.89999999999999991</v>
      </c>
      <c r="L45" s="12">
        <f t="shared" si="8"/>
        <v>-0.99999999999999989</v>
      </c>
    </row>
    <row r="46" spans="1:12" ht="14.45" x14ac:dyDescent="0.3">
      <c r="A46" s="2">
        <f>-A31</f>
        <v>0</v>
      </c>
      <c r="B46" s="12">
        <f t="shared" ref="B46:L46" si="9">-IF(B$43&gt;$C$10,0,IF($A46&gt;B$43,$C$22*(B$43-($A46/2))*$A46,$C$22*(B$43^2)/2))</f>
        <v>0</v>
      </c>
      <c r="C46" s="12">
        <f t="shared" si="9"/>
        <v>0</v>
      </c>
      <c r="D46" s="12">
        <f t="shared" si="9"/>
        <v>0</v>
      </c>
      <c r="E46" s="12">
        <f t="shared" si="9"/>
        <v>0</v>
      </c>
      <c r="F46" s="12">
        <f t="shared" si="9"/>
        <v>0</v>
      </c>
      <c r="G46" s="12">
        <f t="shared" si="9"/>
        <v>0</v>
      </c>
      <c r="H46" s="12">
        <f t="shared" si="9"/>
        <v>0</v>
      </c>
      <c r="I46" s="12">
        <f t="shared" si="9"/>
        <v>0</v>
      </c>
      <c r="J46" s="12">
        <f t="shared" si="9"/>
        <v>0</v>
      </c>
      <c r="K46" s="12">
        <f t="shared" si="9"/>
        <v>0</v>
      </c>
      <c r="L46" s="12">
        <f t="shared" si="9"/>
        <v>0</v>
      </c>
    </row>
    <row r="47" spans="1:12" ht="14.45" x14ac:dyDescent="0.3">
      <c r="A47" s="2">
        <f t="shared" ref="A47:A56" si="10">-A32</f>
        <v>-0.1</v>
      </c>
      <c r="B47" s="8">
        <f t="shared" ref="B47:B56" si="11">IF(B$43&gt;$C$10,0,IF($A47&gt;B$43,$C$22*(B$43-($A47/2))*$A47,$C$22*(B$43^2)/2))</f>
        <v>0</v>
      </c>
      <c r="C47" s="8">
        <f t="shared" ref="C47:L56" si="12">-IF(C$43&gt;$C$10,0,IF($A47&gt;C$43,$C$22*(C$43-($A47/2))*$A47,$C$22*(C$43^2)/2))</f>
        <v>0</v>
      </c>
      <c r="D47" s="8">
        <f t="shared" si="12"/>
        <v>0</v>
      </c>
      <c r="E47" s="8">
        <f t="shared" si="12"/>
        <v>0</v>
      </c>
      <c r="F47" s="8">
        <f t="shared" si="12"/>
        <v>0</v>
      </c>
      <c r="G47" s="8">
        <f t="shared" si="12"/>
        <v>0</v>
      </c>
      <c r="H47" s="8">
        <f t="shared" si="12"/>
        <v>-6.5742857142857138</v>
      </c>
      <c r="I47" s="8">
        <f t="shared" si="12"/>
        <v>-9.2039999999999988</v>
      </c>
      <c r="J47" s="8">
        <f t="shared" si="12"/>
        <v>-11.833714285714283</v>
      </c>
      <c r="K47" s="8">
        <f t="shared" si="12"/>
        <v>-14.463428571428565</v>
      </c>
      <c r="L47" s="8">
        <f t="shared" si="12"/>
        <v>-17.093142857142851</v>
      </c>
    </row>
    <row r="48" spans="1:12" ht="14.45" x14ac:dyDescent="0.3">
      <c r="A48" s="2">
        <f t="shared" si="10"/>
        <v>-0.2</v>
      </c>
      <c r="B48" s="8">
        <f t="shared" si="11"/>
        <v>0</v>
      </c>
      <c r="C48" s="8">
        <f t="shared" si="12"/>
        <v>0</v>
      </c>
      <c r="D48" s="8">
        <f t="shared" si="12"/>
        <v>0</v>
      </c>
      <c r="E48" s="8">
        <f t="shared" si="12"/>
        <v>0</v>
      </c>
      <c r="F48" s="8">
        <f t="shared" si="12"/>
        <v>0</v>
      </c>
      <c r="G48" s="8">
        <f t="shared" si="12"/>
        <v>0</v>
      </c>
      <c r="H48" s="8">
        <f t="shared" si="12"/>
        <v>-10.518857142857142</v>
      </c>
      <c r="I48" s="8">
        <f t="shared" si="12"/>
        <v>-15.77828571428571</v>
      </c>
      <c r="J48" s="8">
        <f t="shared" si="12"/>
        <v>-21.03771428571428</v>
      </c>
      <c r="K48" s="8">
        <f t="shared" si="12"/>
        <v>-26.297142857142848</v>
      </c>
      <c r="L48" s="8">
        <f t="shared" si="12"/>
        <v>-31.556571428571427</v>
      </c>
    </row>
    <row r="49" spans="1:15" ht="14.45" x14ac:dyDescent="0.3">
      <c r="A49" s="2">
        <f t="shared" si="10"/>
        <v>-0.30000000000000004</v>
      </c>
      <c r="B49" s="8">
        <f t="shared" si="11"/>
        <v>0</v>
      </c>
      <c r="C49" s="8">
        <f t="shared" si="12"/>
        <v>0</v>
      </c>
      <c r="D49" s="8">
        <f t="shared" si="12"/>
        <v>0</v>
      </c>
      <c r="E49" s="8">
        <f t="shared" si="12"/>
        <v>0</v>
      </c>
      <c r="F49" s="8">
        <f t="shared" si="12"/>
        <v>0</v>
      </c>
      <c r="G49" s="8">
        <f t="shared" si="12"/>
        <v>0</v>
      </c>
      <c r="H49" s="8">
        <f t="shared" si="12"/>
        <v>-11.833714285714283</v>
      </c>
      <c r="I49" s="8">
        <f t="shared" si="12"/>
        <v>-19.722857142857137</v>
      </c>
      <c r="J49" s="8">
        <f t="shared" si="12"/>
        <v>-27.611999999999995</v>
      </c>
      <c r="K49" s="8">
        <f t="shared" si="12"/>
        <v>-35.501142857142845</v>
      </c>
      <c r="L49" s="8">
        <f t="shared" si="12"/>
        <v>-43.39028571428571</v>
      </c>
    </row>
    <row r="50" spans="1:15" ht="14.45" x14ac:dyDescent="0.3">
      <c r="A50" s="2">
        <f t="shared" si="10"/>
        <v>-0.4</v>
      </c>
      <c r="B50" s="8">
        <f t="shared" si="11"/>
        <v>0</v>
      </c>
      <c r="C50" s="8">
        <f t="shared" si="12"/>
        <v>0</v>
      </c>
      <c r="D50" s="8">
        <f t="shared" si="12"/>
        <v>0</v>
      </c>
      <c r="E50" s="8">
        <f t="shared" si="12"/>
        <v>0</v>
      </c>
      <c r="F50" s="8">
        <f t="shared" si="12"/>
        <v>0</v>
      </c>
      <c r="G50" s="8">
        <f t="shared" si="12"/>
        <v>0</v>
      </c>
      <c r="H50" s="8">
        <f t="shared" si="12"/>
        <v>-11.833714285714283</v>
      </c>
      <c r="I50" s="8">
        <f t="shared" si="12"/>
        <v>-21.03771428571428</v>
      </c>
      <c r="J50" s="8">
        <f t="shared" si="12"/>
        <v>-31.55657142857142</v>
      </c>
      <c r="K50" s="8">
        <f t="shared" si="12"/>
        <v>-42.075428571428553</v>
      </c>
      <c r="L50" s="8">
        <f t="shared" si="12"/>
        <v>-52.594285714285697</v>
      </c>
    </row>
    <row r="51" spans="1:15" ht="14.45" x14ac:dyDescent="0.3">
      <c r="A51" s="2">
        <f t="shared" si="10"/>
        <v>-0.5</v>
      </c>
      <c r="B51" s="8">
        <f t="shared" si="11"/>
        <v>0</v>
      </c>
      <c r="C51" s="8">
        <f t="shared" si="12"/>
        <v>0</v>
      </c>
      <c r="D51" s="8">
        <f t="shared" si="12"/>
        <v>0</v>
      </c>
      <c r="E51" s="8">
        <f t="shared" si="12"/>
        <v>0</v>
      </c>
      <c r="F51" s="8">
        <f t="shared" si="12"/>
        <v>0</v>
      </c>
      <c r="G51" s="8">
        <f t="shared" si="12"/>
        <v>0</v>
      </c>
      <c r="H51" s="8">
        <f t="shared" si="12"/>
        <v>-11.833714285714283</v>
      </c>
      <c r="I51" s="8">
        <f t="shared" si="12"/>
        <v>-21.03771428571428</v>
      </c>
      <c r="J51" s="8">
        <f t="shared" si="12"/>
        <v>-32.871428571428559</v>
      </c>
      <c r="K51" s="8">
        <f t="shared" si="12"/>
        <v>-46.019999999999975</v>
      </c>
      <c r="L51" s="8">
        <f t="shared" si="12"/>
        <v>-59.168571428571411</v>
      </c>
    </row>
    <row r="52" spans="1:15" ht="14.45" x14ac:dyDescent="0.3">
      <c r="A52" s="2">
        <f t="shared" si="10"/>
        <v>-0.6</v>
      </c>
      <c r="B52" s="8">
        <f t="shared" si="11"/>
        <v>0</v>
      </c>
      <c r="C52" s="8">
        <f t="shared" si="12"/>
        <v>0</v>
      </c>
      <c r="D52" s="8">
        <f t="shared" si="12"/>
        <v>0</v>
      </c>
      <c r="E52" s="8">
        <f t="shared" si="12"/>
        <v>0</v>
      </c>
      <c r="F52" s="8">
        <f t="shared" si="12"/>
        <v>0</v>
      </c>
      <c r="G52" s="8">
        <f t="shared" si="12"/>
        <v>0</v>
      </c>
      <c r="H52" s="8">
        <f t="shared" si="12"/>
        <v>-11.833714285714283</v>
      </c>
      <c r="I52" s="8">
        <f t="shared" si="12"/>
        <v>-21.03771428571428</v>
      </c>
      <c r="J52" s="8">
        <f t="shared" si="12"/>
        <v>-32.871428571428559</v>
      </c>
      <c r="K52" s="8">
        <f t="shared" si="12"/>
        <v>-47.334857142857111</v>
      </c>
      <c r="L52" s="8">
        <f t="shared" si="12"/>
        <v>-63.11314285714284</v>
      </c>
    </row>
    <row r="53" spans="1:15" ht="14.45" x14ac:dyDescent="0.3">
      <c r="A53" s="2">
        <f t="shared" si="10"/>
        <v>-0.7</v>
      </c>
      <c r="B53" s="8">
        <f t="shared" si="11"/>
        <v>0</v>
      </c>
      <c r="C53" s="8">
        <f t="shared" si="12"/>
        <v>0</v>
      </c>
      <c r="D53" s="8">
        <f t="shared" si="12"/>
        <v>0</v>
      </c>
      <c r="E53" s="8">
        <f t="shared" si="12"/>
        <v>0</v>
      </c>
      <c r="F53" s="8">
        <f t="shared" si="12"/>
        <v>0</v>
      </c>
      <c r="G53" s="8">
        <f t="shared" si="12"/>
        <v>0</v>
      </c>
      <c r="H53" s="8">
        <f t="shared" si="12"/>
        <v>-11.833714285714283</v>
      </c>
      <c r="I53" s="8">
        <f t="shared" si="12"/>
        <v>-21.03771428571428</v>
      </c>
      <c r="J53" s="8">
        <f t="shared" si="12"/>
        <v>-32.871428571428559</v>
      </c>
      <c r="K53" s="8">
        <f t="shared" si="12"/>
        <v>-47.334857142857111</v>
      </c>
      <c r="L53" s="8">
        <f t="shared" si="12"/>
        <v>-64.427999999999983</v>
      </c>
      <c r="N53" s="13"/>
      <c r="O53" s="13"/>
    </row>
    <row r="54" spans="1:15" ht="14.45" x14ac:dyDescent="0.3">
      <c r="A54" s="9">
        <f t="shared" si="10"/>
        <v>-0.79999999999999993</v>
      </c>
      <c r="B54" s="8">
        <f t="shared" si="11"/>
        <v>0</v>
      </c>
      <c r="C54" s="8">
        <f t="shared" si="12"/>
        <v>0</v>
      </c>
      <c r="D54" s="8">
        <f t="shared" si="12"/>
        <v>0</v>
      </c>
      <c r="E54" s="8">
        <f t="shared" si="12"/>
        <v>0</v>
      </c>
      <c r="F54" s="8">
        <f t="shared" si="12"/>
        <v>0</v>
      </c>
      <c r="G54" s="8">
        <f t="shared" si="12"/>
        <v>0</v>
      </c>
      <c r="H54" s="8">
        <f t="shared" si="12"/>
        <v>-11.833714285714283</v>
      </c>
      <c r="I54" s="8">
        <f t="shared" si="12"/>
        <v>-21.03771428571428</v>
      </c>
      <c r="J54" s="8">
        <f t="shared" si="12"/>
        <v>-32.871428571428559</v>
      </c>
      <c r="K54" s="8">
        <f t="shared" si="12"/>
        <v>-47.334857142857111</v>
      </c>
      <c r="L54" s="8">
        <f t="shared" si="12"/>
        <v>-64.427999999999983</v>
      </c>
    </row>
    <row r="55" spans="1:15" ht="14.45" x14ac:dyDescent="0.3">
      <c r="A55" s="9">
        <f t="shared" si="10"/>
        <v>-0.89999999999999991</v>
      </c>
      <c r="B55" s="8">
        <f t="shared" si="11"/>
        <v>0</v>
      </c>
      <c r="C55" s="8">
        <f t="shared" si="12"/>
        <v>0</v>
      </c>
      <c r="D55" s="8">
        <f t="shared" si="12"/>
        <v>0</v>
      </c>
      <c r="E55" s="8">
        <f t="shared" si="12"/>
        <v>0</v>
      </c>
      <c r="F55" s="8">
        <f t="shared" si="12"/>
        <v>0</v>
      </c>
      <c r="G55" s="8">
        <f t="shared" si="12"/>
        <v>0</v>
      </c>
      <c r="H55" s="8">
        <f t="shared" si="12"/>
        <v>-11.833714285714283</v>
      </c>
      <c r="I55" s="8">
        <f t="shared" si="12"/>
        <v>-21.03771428571428</v>
      </c>
      <c r="J55" s="8">
        <f t="shared" si="12"/>
        <v>-32.871428571428559</v>
      </c>
      <c r="K55" s="8">
        <f t="shared" si="12"/>
        <v>-47.334857142857111</v>
      </c>
      <c r="L55" s="8">
        <f t="shared" si="12"/>
        <v>-64.427999999999983</v>
      </c>
      <c r="N55" s="13"/>
      <c r="O55" s="13"/>
    </row>
    <row r="56" spans="1:15" ht="14.45" x14ac:dyDescent="0.3">
      <c r="A56" s="9">
        <f t="shared" si="10"/>
        <v>-0.99999999999999989</v>
      </c>
      <c r="B56" s="8">
        <f t="shared" si="11"/>
        <v>0</v>
      </c>
      <c r="C56" s="8">
        <f t="shared" si="12"/>
        <v>0</v>
      </c>
      <c r="D56" s="8">
        <f t="shared" si="12"/>
        <v>0</v>
      </c>
      <c r="E56" s="8">
        <f t="shared" si="12"/>
        <v>0</v>
      </c>
      <c r="F56" s="8">
        <f t="shared" si="12"/>
        <v>0</v>
      </c>
      <c r="G56" s="8">
        <f t="shared" si="12"/>
        <v>0</v>
      </c>
      <c r="H56" s="8">
        <f t="shared" si="12"/>
        <v>-11.833714285714283</v>
      </c>
      <c r="I56" s="8">
        <f t="shared" si="12"/>
        <v>-21.03771428571428</v>
      </c>
      <c r="J56" s="8">
        <f t="shared" si="12"/>
        <v>-32.871428571428559</v>
      </c>
      <c r="K56" s="8">
        <f t="shared" si="12"/>
        <v>-47.334857142857111</v>
      </c>
      <c r="L56" s="8">
        <f t="shared" si="12"/>
        <v>-64.427999999999983</v>
      </c>
      <c r="N56" s="13"/>
      <c r="O56" s="13"/>
    </row>
    <row r="58" spans="1:15" x14ac:dyDescent="0.25">
      <c r="B58" s="9">
        <v>11</v>
      </c>
      <c r="C58" s="9">
        <f>B58-1</f>
        <v>10</v>
      </c>
      <c r="D58" s="9">
        <f t="shared" ref="D58:L58" si="13">C58-1</f>
        <v>9</v>
      </c>
      <c r="E58" s="9">
        <f t="shared" si="13"/>
        <v>8</v>
      </c>
      <c r="F58" s="9">
        <f t="shared" si="13"/>
        <v>7</v>
      </c>
      <c r="G58" s="9">
        <f t="shared" si="13"/>
        <v>6</v>
      </c>
      <c r="H58" s="9">
        <f t="shared" si="13"/>
        <v>5</v>
      </c>
      <c r="I58" s="9">
        <f t="shared" si="13"/>
        <v>4</v>
      </c>
      <c r="J58" s="9">
        <f t="shared" si="13"/>
        <v>3</v>
      </c>
      <c r="K58" s="9">
        <f t="shared" si="13"/>
        <v>2</v>
      </c>
      <c r="L58" s="9">
        <f t="shared" si="13"/>
        <v>1</v>
      </c>
    </row>
    <row r="59" spans="1:15" x14ac:dyDescent="0.25">
      <c r="A59" s="1" t="s">
        <v>26</v>
      </c>
      <c r="B59" s="22" t="s">
        <v>47</v>
      </c>
      <c r="C59" s="23"/>
      <c r="D59" s="23"/>
      <c r="E59" s="23"/>
      <c r="F59" s="23"/>
      <c r="G59" s="23"/>
      <c r="H59" s="23"/>
      <c r="I59" s="25"/>
      <c r="J59" s="25"/>
      <c r="K59" s="25"/>
      <c r="L59" s="26"/>
    </row>
    <row r="60" spans="1:15" x14ac:dyDescent="0.25">
      <c r="A60" s="9" t="s">
        <v>27</v>
      </c>
      <c r="B60" s="2">
        <f>B30</f>
        <v>0</v>
      </c>
      <c r="C60" s="9">
        <f t="shared" ref="C60:L60" si="14">C30</f>
        <v>0.1</v>
      </c>
      <c r="D60" s="9">
        <f t="shared" si="14"/>
        <v>0.2</v>
      </c>
      <c r="E60" s="9">
        <f t="shared" si="14"/>
        <v>0.30000000000000004</v>
      </c>
      <c r="F60" s="9">
        <f t="shared" si="14"/>
        <v>0.4</v>
      </c>
      <c r="G60" s="9">
        <f t="shared" si="14"/>
        <v>0.5</v>
      </c>
      <c r="H60" s="9">
        <f t="shared" si="14"/>
        <v>0.6</v>
      </c>
      <c r="I60" s="9">
        <f t="shared" si="14"/>
        <v>0.7</v>
      </c>
      <c r="J60" s="9">
        <f t="shared" si="14"/>
        <v>0.79999999999999993</v>
      </c>
      <c r="K60" s="9">
        <f t="shared" si="14"/>
        <v>0.89999999999999991</v>
      </c>
      <c r="L60" s="9">
        <f t="shared" si="14"/>
        <v>0.99999999999999989</v>
      </c>
    </row>
    <row r="61" spans="1:15" x14ac:dyDescent="0.25">
      <c r="A61" s="9">
        <f t="shared" ref="A61:A71" si="15">A31</f>
        <v>0</v>
      </c>
      <c r="B61" s="2">
        <f>-INDEX($B$46:$L$56,$M61,B$58)</f>
        <v>64.427999999999983</v>
      </c>
      <c r="C61" s="9">
        <f t="shared" ref="C61:L71" si="16">-INDEX($B$46:$L$56,$M61,C$58)</f>
        <v>47.334857142857111</v>
      </c>
      <c r="D61" s="9">
        <f t="shared" si="16"/>
        <v>32.871428571428559</v>
      </c>
      <c r="E61" s="9">
        <f t="shared" si="16"/>
        <v>21.03771428571428</v>
      </c>
      <c r="F61" s="9">
        <f t="shared" si="16"/>
        <v>11.833714285714283</v>
      </c>
      <c r="G61" s="9">
        <f t="shared" si="16"/>
        <v>0</v>
      </c>
      <c r="H61" s="9">
        <f t="shared" si="16"/>
        <v>0</v>
      </c>
      <c r="I61" s="9">
        <f t="shared" si="16"/>
        <v>0</v>
      </c>
      <c r="J61" s="9">
        <f t="shared" si="16"/>
        <v>0</v>
      </c>
      <c r="K61" s="9">
        <f t="shared" si="16"/>
        <v>0</v>
      </c>
      <c r="L61" s="9">
        <f t="shared" si="16"/>
        <v>0</v>
      </c>
      <c r="M61" s="9">
        <v>11</v>
      </c>
    </row>
    <row r="62" spans="1:15" x14ac:dyDescent="0.25">
      <c r="A62" s="9">
        <f t="shared" si="15"/>
        <v>0.1</v>
      </c>
      <c r="B62" s="9">
        <f t="shared" ref="B62:B71" si="17">-INDEX($B$46:$L$56,$M62,B$58)</f>
        <v>64.427999999999983</v>
      </c>
      <c r="C62" s="9">
        <f t="shared" si="16"/>
        <v>47.334857142857111</v>
      </c>
      <c r="D62" s="9">
        <f t="shared" si="16"/>
        <v>32.871428571428559</v>
      </c>
      <c r="E62" s="9">
        <f t="shared" si="16"/>
        <v>21.03771428571428</v>
      </c>
      <c r="F62" s="9">
        <f t="shared" si="16"/>
        <v>11.833714285714283</v>
      </c>
      <c r="G62" s="9">
        <f t="shared" si="16"/>
        <v>0</v>
      </c>
      <c r="H62" s="9">
        <f t="shared" si="16"/>
        <v>0</v>
      </c>
      <c r="I62" s="9">
        <f t="shared" si="16"/>
        <v>0</v>
      </c>
      <c r="J62" s="9">
        <f t="shared" si="16"/>
        <v>0</v>
      </c>
      <c r="K62" s="9">
        <f t="shared" si="16"/>
        <v>0</v>
      </c>
      <c r="L62" s="9">
        <f t="shared" si="16"/>
        <v>0</v>
      </c>
      <c r="M62" s="9">
        <f>M61-1</f>
        <v>10</v>
      </c>
    </row>
    <row r="63" spans="1:15" x14ac:dyDescent="0.25">
      <c r="A63" s="9">
        <f t="shared" si="15"/>
        <v>0.2</v>
      </c>
      <c r="B63" s="9">
        <f t="shared" si="17"/>
        <v>64.427999999999983</v>
      </c>
      <c r="C63" s="9">
        <f t="shared" si="16"/>
        <v>47.334857142857111</v>
      </c>
      <c r="D63" s="9">
        <f t="shared" si="16"/>
        <v>32.871428571428559</v>
      </c>
      <c r="E63" s="9">
        <f t="shared" si="16"/>
        <v>21.03771428571428</v>
      </c>
      <c r="F63" s="9">
        <f t="shared" si="16"/>
        <v>11.833714285714283</v>
      </c>
      <c r="G63" s="9">
        <f t="shared" si="16"/>
        <v>0</v>
      </c>
      <c r="H63" s="9">
        <f t="shared" si="16"/>
        <v>0</v>
      </c>
      <c r="I63" s="9">
        <f t="shared" si="16"/>
        <v>0</v>
      </c>
      <c r="J63" s="9">
        <f t="shared" si="16"/>
        <v>0</v>
      </c>
      <c r="K63" s="9">
        <f t="shared" si="16"/>
        <v>0</v>
      </c>
      <c r="L63" s="9">
        <f t="shared" si="16"/>
        <v>0</v>
      </c>
      <c r="M63" s="9">
        <f t="shared" ref="M63:M71" si="18">M62-1</f>
        <v>9</v>
      </c>
    </row>
    <row r="64" spans="1:15" x14ac:dyDescent="0.25">
      <c r="A64" s="9">
        <f t="shared" si="15"/>
        <v>0.30000000000000004</v>
      </c>
      <c r="B64" s="9">
        <f t="shared" si="17"/>
        <v>64.427999999999983</v>
      </c>
      <c r="C64" s="9">
        <f t="shared" si="16"/>
        <v>47.334857142857111</v>
      </c>
      <c r="D64" s="9">
        <f t="shared" si="16"/>
        <v>32.871428571428559</v>
      </c>
      <c r="E64" s="9">
        <f t="shared" si="16"/>
        <v>21.03771428571428</v>
      </c>
      <c r="F64" s="9">
        <f t="shared" si="16"/>
        <v>11.833714285714283</v>
      </c>
      <c r="G64" s="9">
        <f t="shared" si="16"/>
        <v>0</v>
      </c>
      <c r="H64" s="9">
        <f t="shared" si="16"/>
        <v>0</v>
      </c>
      <c r="I64" s="9">
        <f t="shared" si="16"/>
        <v>0</v>
      </c>
      <c r="J64" s="9">
        <f t="shared" si="16"/>
        <v>0</v>
      </c>
      <c r="K64" s="9">
        <f t="shared" si="16"/>
        <v>0</v>
      </c>
      <c r="L64" s="9">
        <f t="shared" si="16"/>
        <v>0</v>
      </c>
      <c r="M64" s="9">
        <f t="shared" si="18"/>
        <v>8</v>
      </c>
    </row>
    <row r="65" spans="1:13" x14ac:dyDescent="0.25">
      <c r="A65" s="9">
        <f t="shared" si="15"/>
        <v>0.4</v>
      </c>
      <c r="B65" s="9">
        <f t="shared" si="17"/>
        <v>63.11314285714284</v>
      </c>
      <c r="C65" s="9">
        <f t="shared" si="16"/>
        <v>47.334857142857111</v>
      </c>
      <c r="D65" s="9">
        <f t="shared" si="16"/>
        <v>32.871428571428559</v>
      </c>
      <c r="E65" s="9">
        <f t="shared" si="16"/>
        <v>21.03771428571428</v>
      </c>
      <c r="F65" s="9">
        <f t="shared" si="16"/>
        <v>11.833714285714283</v>
      </c>
      <c r="G65" s="9">
        <f t="shared" si="16"/>
        <v>0</v>
      </c>
      <c r="H65" s="9">
        <f t="shared" si="16"/>
        <v>0</v>
      </c>
      <c r="I65" s="9">
        <f t="shared" si="16"/>
        <v>0</v>
      </c>
      <c r="J65" s="9">
        <f t="shared" si="16"/>
        <v>0</v>
      </c>
      <c r="K65" s="9">
        <f t="shared" si="16"/>
        <v>0</v>
      </c>
      <c r="L65" s="9">
        <f t="shared" si="16"/>
        <v>0</v>
      </c>
      <c r="M65" s="9">
        <f t="shared" si="18"/>
        <v>7</v>
      </c>
    </row>
    <row r="66" spans="1:13" x14ac:dyDescent="0.25">
      <c r="A66" s="9">
        <f t="shared" si="15"/>
        <v>0.5</v>
      </c>
      <c r="B66" s="9">
        <f t="shared" si="17"/>
        <v>59.168571428571411</v>
      </c>
      <c r="C66" s="9">
        <f t="shared" si="16"/>
        <v>46.019999999999975</v>
      </c>
      <c r="D66" s="9">
        <f t="shared" si="16"/>
        <v>32.871428571428559</v>
      </c>
      <c r="E66" s="9">
        <f t="shared" si="16"/>
        <v>21.03771428571428</v>
      </c>
      <c r="F66" s="9">
        <f t="shared" si="16"/>
        <v>11.833714285714283</v>
      </c>
      <c r="G66" s="9">
        <f t="shared" si="16"/>
        <v>0</v>
      </c>
      <c r="H66" s="9">
        <f t="shared" si="16"/>
        <v>0</v>
      </c>
      <c r="I66" s="9">
        <f t="shared" si="16"/>
        <v>0</v>
      </c>
      <c r="J66" s="9">
        <f t="shared" si="16"/>
        <v>0</v>
      </c>
      <c r="K66" s="9">
        <f t="shared" si="16"/>
        <v>0</v>
      </c>
      <c r="L66" s="9">
        <f t="shared" si="16"/>
        <v>0</v>
      </c>
      <c r="M66" s="9">
        <f t="shared" si="18"/>
        <v>6</v>
      </c>
    </row>
    <row r="67" spans="1:13" x14ac:dyDescent="0.25">
      <c r="A67" s="9">
        <f t="shared" si="15"/>
        <v>0.6</v>
      </c>
      <c r="B67" s="9">
        <f t="shared" si="17"/>
        <v>52.594285714285697</v>
      </c>
      <c r="C67" s="9">
        <f t="shared" si="16"/>
        <v>42.075428571428553</v>
      </c>
      <c r="D67" s="9">
        <f t="shared" si="16"/>
        <v>31.55657142857142</v>
      </c>
      <c r="E67" s="9">
        <f t="shared" si="16"/>
        <v>21.03771428571428</v>
      </c>
      <c r="F67" s="9">
        <f t="shared" si="16"/>
        <v>11.833714285714283</v>
      </c>
      <c r="G67" s="9">
        <f t="shared" si="16"/>
        <v>0</v>
      </c>
      <c r="H67" s="9">
        <f t="shared" si="16"/>
        <v>0</v>
      </c>
      <c r="I67" s="9">
        <f t="shared" si="16"/>
        <v>0</v>
      </c>
      <c r="J67" s="9">
        <f t="shared" si="16"/>
        <v>0</v>
      </c>
      <c r="K67" s="9">
        <f t="shared" si="16"/>
        <v>0</v>
      </c>
      <c r="L67" s="9">
        <f t="shared" si="16"/>
        <v>0</v>
      </c>
      <c r="M67" s="9">
        <f t="shared" si="18"/>
        <v>5</v>
      </c>
    </row>
    <row r="68" spans="1:13" x14ac:dyDescent="0.25">
      <c r="A68" s="9">
        <f t="shared" si="15"/>
        <v>0.7</v>
      </c>
      <c r="B68" s="9">
        <f t="shared" si="17"/>
        <v>43.39028571428571</v>
      </c>
      <c r="C68" s="9">
        <f t="shared" si="16"/>
        <v>35.501142857142845</v>
      </c>
      <c r="D68" s="9">
        <f t="shared" si="16"/>
        <v>27.611999999999995</v>
      </c>
      <c r="E68" s="9">
        <f t="shared" si="16"/>
        <v>19.722857142857137</v>
      </c>
      <c r="F68" s="9">
        <f t="shared" si="16"/>
        <v>11.833714285714283</v>
      </c>
      <c r="G68" s="9">
        <f t="shared" si="16"/>
        <v>0</v>
      </c>
      <c r="H68" s="9">
        <f t="shared" si="16"/>
        <v>0</v>
      </c>
      <c r="I68" s="9">
        <f t="shared" si="16"/>
        <v>0</v>
      </c>
      <c r="J68" s="9">
        <f t="shared" si="16"/>
        <v>0</v>
      </c>
      <c r="K68" s="9">
        <f t="shared" si="16"/>
        <v>0</v>
      </c>
      <c r="L68" s="9">
        <f t="shared" si="16"/>
        <v>0</v>
      </c>
      <c r="M68" s="9">
        <f t="shared" si="18"/>
        <v>4</v>
      </c>
    </row>
    <row r="69" spans="1:13" x14ac:dyDescent="0.25">
      <c r="A69" s="9">
        <f t="shared" si="15"/>
        <v>0.79999999999999993</v>
      </c>
      <c r="B69" s="9">
        <f t="shared" si="17"/>
        <v>31.556571428571427</v>
      </c>
      <c r="C69" s="9">
        <f t="shared" si="16"/>
        <v>26.297142857142848</v>
      </c>
      <c r="D69" s="9">
        <f t="shared" si="16"/>
        <v>21.03771428571428</v>
      </c>
      <c r="E69" s="9">
        <f t="shared" si="16"/>
        <v>15.77828571428571</v>
      </c>
      <c r="F69" s="9">
        <f t="shared" si="16"/>
        <v>10.518857142857142</v>
      </c>
      <c r="G69" s="9">
        <f t="shared" si="16"/>
        <v>0</v>
      </c>
      <c r="H69" s="9">
        <f t="shared" si="16"/>
        <v>0</v>
      </c>
      <c r="I69" s="9">
        <f t="shared" si="16"/>
        <v>0</v>
      </c>
      <c r="J69" s="9">
        <f t="shared" si="16"/>
        <v>0</v>
      </c>
      <c r="K69" s="9">
        <f t="shared" si="16"/>
        <v>0</v>
      </c>
      <c r="L69" s="9">
        <f t="shared" si="16"/>
        <v>0</v>
      </c>
      <c r="M69" s="9">
        <f t="shared" si="18"/>
        <v>3</v>
      </c>
    </row>
    <row r="70" spans="1:13" x14ac:dyDescent="0.25">
      <c r="A70" s="9">
        <f t="shared" si="15"/>
        <v>0.89999999999999991</v>
      </c>
      <c r="B70" s="9">
        <f t="shared" si="17"/>
        <v>17.093142857142851</v>
      </c>
      <c r="C70" s="9">
        <f t="shared" si="16"/>
        <v>14.463428571428565</v>
      </c>
      <c r="D70" s="9">
        <f t="shared" si="16"/>
        <v>11.833714285714283</v>
      </c>
      <c r="E70" s="9">
        <f t="shared" si="16"/>
        <v>9.2039999999999988</v>
      </c>
      <c r="F70" s="9">
        <f t="shared" si="16"/>
        <v>6.5742857142857138</v>
      </c>
      <c r="G70" s="9">
        <f t="shared" si="16"/>
        <v>0</v>
      </c>
      <c r="H70" s="9">
        <f t="shared" si="16"/>
        <v>0</v>
      </c>
      <c r="I70" s="9">
        <f t="shared" si="16"/>
        <v>0</v>
      </c>
      <c r="J70" s="9">
        <f t="shared" si="16"/>
        <v>0</v>
      </c>
      <c r="K70" s="9">
        <f t="shared" si="16"/>
        <v>0</v>
      </c>
      <c r="L70" s="9">
        <f t="shared" si="16"/>
        <v>0</v>
      </c>
      <c r="M70" s="9">
        <f t="shared" si="18"/>
        <v>2</v>
      </c>
    </row>
    <row r="71" spans="1:13" x14ac:dyDescent="0.25">
      <c r="A71" s="9">
        <f t="shared" si="15"/>
        <v>0.99999999999999989</v>
      </c>
      <c r="B71" s="9">
        <f t="shared" si="17"/>
        <v>0</v>
      </c>
      <c r="C71" s="9">
        <f t="shared" si="16"/>
        <v>0</v>
      </c>
      <c r="D71" s="9">
        <f t="shared" si="16"/>
        <v>0</v>
      </c>
      <c r="E71" s="9">
        <f t="shared" si="16"/>
        <v>0</v>
      </c>
      <c r="F71" s="9">
        <f t="shared" si="16"/>
        <v>0</v>
      </c>
      <c r="G71" s="9">
        <f t="shared" si="16"/>
        <v>0</v>
      </c>
      <c r="H71" s="9">
        <f t="shared" si="16"/>
        <v>0</v>
      </c>
      <c r="I71" s="9">
        <f t="shared" si="16"/>
        <v>0</v>
      </c>
      <c r="J71" s="9">
        <f t="shared" si="16"/>
        <v>0</v>
      </c>
      <c r="K71" s="9">
        <f t="shared" si="16"/>
        <v>0</v>
      </c>
      <c r="L71" s="9">
        <f t="shared" si="16"/>
        <v>0</v>
      </c>
      <c r="M71" s="9">
        <f t="shared" si="18"/>
        <v>1</v>
      </c>
    </row>
    <row r="72" spans="1:13" x14ac:dyDescent="0.25">
      <c r="A72" s="9"/>
    </row>
  </sheetData>
  <mergeCells count="3">
    <mergeCell ref="B59:L59"/>
    <mergeCell ref="B44:L44"/>
    <mergeCell ref="B29:L29"/>
  </mergeCells>
  <pageMargins left="0.7" right="0.7" top="0.75" bottom="0.75" header="0.3" footer="0.3"/>
  <pageSetup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"/>
  <sheetViews>
    <sheetView workbookViewId="0">
      <selection activeCell="B5" sqref="B5"/>
    </sheetView>
  </sheetViews>
  <sheetFormatPr defaultRowHeight="15" x14ac:dyDescent="0.25"/>
  <cols>
    <col min="1" max="1" width="8.42578125" bestFit="1" customWidth="1"/>
    <col min="2" max="12" width="4.7109375" customWidth="1"/>
  </cols>
  <sheetData>
    <row r="2" spans="1:12" x14ac:dyDescent="0.3">
      <c r="A2" s="14" t="s">
        <v>29</v>
      </c>
      <c r="B2" s="15">
        <v>0.5</v>
      </c>
      <c r="C2" t="s">
        <v>3</v>
      </c>
    </row>
    <row r="3" spans="1:12" x14ac:dyDescent="0.3">
      <c r="B3">
        <v>2</v>
      </c>
      <c r="C3">
        <f>1+B3</f>
        <v>3</v>
      </c>
      <c r="D3">
        <f t="shared" ref="D3:L3" si="0">1+C3</f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</row>
    <row r="4" spans="1:12" s="16" customFormat="1" x14ac:dyDescent="0.3">
      <c r="A4" s="7" t="s">
        <v>30</v>
      </c>
      <c r="B4" s="9">
        <f>'LongChannel Model'!B30</f>
        <v>0</v>
      </c>
      <c r="C4" s="9">
        <f>'LongChannel Model'!C30</f>
        <v>0.1</v>
      </c>
      <c r="D4" s="9">
        <f>'LongChannel Model'!D30</f>
        <v>0.2</v>
      </c>
      <c r="E4" s="9">
        <f>'LongChannel Model'!E30</f>
        <v>0.30000000000000004</v>
      </c>
      <c r="F4" s="9">
        <f>'LongChannel Model'!F30</f>
        <v>0.4</v>
      </c>
      <c r="G4" s="9">
        <f>'LongChannel Model'!G30</f>
        <v>0.5</v>
      </c>
      <c r="H4" s="9">
        <f>'LongChannel Model'!H30</f>
        <v>0.6</v>
      </c>
      <c r="I4" s="9">
        <f>'LongChannel Model'!I30</f>
        <v>0.7</v>
      </c>
      <c r="J4" s="9">
        <f>'LongChannel Model'!J30</f>
        <v>0.79999999999999993</v>
      </c>
      <c r="K4" s="9">
        <f>'LongChannel Model'!K30</f>
        <v>0.89999999999999991</v>
      </c>
      <c r="L4" s="9">
        <f>'LongChannel Model'!L30</f>
        <v>0.99999999999999989</v>
      </c>
    </row>
    <row r="5" spans="1:12" s="18" customFormat="1" x14ac:dyDescent="0.3">
      <c r="A5" s="17" t="s">
        <v>31</v>
      </c>
      <c r="B5" s="6">
        <f>VLOOKUP($B$2,'LongChannel Model'!$A$31:$L$41,B3,TRUE)</f>
        <v>0</v>
      </c>
      <c r="C5" s="6">
        <f>VLOOKUP($B$2,'LongChannel Model'!$A$31:$L$41,C3,TRUE)</f>
        <v>0</v>
      </c>
      <c r="D5" s="6">
        <f>VLOOKUP($B$2,'LongChannel Model'!$A$31:$L$41,D3,TRUE)</f>
        <v>0</v>
      </c>
      <c r="E5" s="6">
        <f>VLOOKUP($B$2,'LongChannel Model'!$A$31:$L$41,E3,TRUE)</f>
        <v>0</v>
      </c>
      <c r="F5" s="6">
        <f>VLOOKUP($B$2,'LongChannel Model'!$A$31:$L$41,F3,TRUE)</f>
        <v>2.6297142857142872</v>
      </c>
      <c r="G5" s="6">
        <f>VLOOKUP($B$2,'LongChannel Model'!$A$31:$L$41,G3,TRUE)</f>
        <v>10.518857142857144</v>
      </c>
      <c r="H5" s="6">
        <f>VLOOKUP($B$2,'LongChannel Model'!$A$31:$L$41,H3,TRUE)</f>
        <v>23.667428571428566</v>
      </c>
      <c r="I5" s="6">
        <f>VLOOKUP($B$2,'LongChannel Model'!$A$31:$L$41,I3,TRUE)</f>
        <v>42.07542857142856</v>
      </c>
      <c r="J5" s="6">
        <f>VLOOKUP($B$2,'LongChannel Model'!$A$31:$L$41,J3,TRUE)</f>
        <v>65.742857142857119</v>
      </c>
      <c r="K5" s="6">
        <f>VLOOKUP($B$2,'LongChannel Model'!$A$31:$L$41,K3,TRUE)</f>
        <v>92.039999999999949</v>
      </c>
      <c r="L5" s="6">
        <f>VLOOKUP($B$2,'LongChannel Model'!$A$31:$L$41,L3,TRUE)</f>
        <v>118.33714285714282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S33" sqref="S33"/>
    </sheetView>
  </sheetViews>
  <sheetFormatPr defaultColWidth="9.140625" defaultRowHeight="15" x14ac:dyDescent="0.25"/>
  <cols>
    <col min="1" max="2" width="9.140625" style="9"/>
    <col min="3" max="16384" width="9.140625" style="1"/>
  </cols>
  <sheetData>
    <row r="1" spans="1:5" x14ac:dyDescent="0.3">
      <c r="A1" s="9" t="s">
        <v>61</v>
      </c>
      <c r="B1" s="10">
        <f>C1/4</f>
        <v>1600</v>
      </c>
      <c r="C1" s="3">
        <v>6400</v>
      </c>
      <c r="D1" s="10">
        <f>C1*4</f>
        <v>25600</v>
      </c>
      <c r="E1" s="1" t="s">
        <v>62</v>
      </c>
    </row>
    <row r="2" spans="1:5" x14ac:dyDescent="0.3">
      <c r="B2" s="9" t="s">
        <v>65</v>
      </c>
      <c r="C2" s="9" t="s">
        <v>61</v>
      </c>
      <c r="D2" s="9" t="s">
        <v>64</v>
      </c>
    </row>
    <row r="3" spans="1:5" x14ac:dyDescent="0.3">
      <c r="A3" s="9" t="str">
        <f>'LongChannel Model'!A30</f>
        <v>Vds</v>
      </c>
      <c r="B3" s="9" t="s">
        <v>63</v>
      </c>
      <c r="C3" s="9" t="s">
        <v>63</v>
      </c>
      <c r="D3" s="9" t="s">
        <v>63</v>
      </c>
    </row>
    <row r="4" spans="1:5" x14ac:dyDescent="0.3">
      <c r="A4" s="9">
        <f>'LongChannel Model'!A31</f>
        <v>0</v>
      </c>
      <c r="B4" s="9">
        <f>1000000*($A$14-$A4)/B$1</f>
        <v>624.99999999999989</v>
      </c>
      <c r="C4" s="9">
        <f t="shared" ref="C4:D14" si="0">1000000*($A$14-$A4)/C$1</f>
        <v>156.24999999999997</v>
      </c>
      <c r="D4" s="9">
        <f t="shared" si="0"/>
        <v>39.062499999999993</v>
      </c>
    </row>
    <row r="5" spans="1:5" x14ac:dyDescent="0.3">
      <c r="A5" s="9">
        <f>'LongChannel Model'!A32</f>
        <v>0.1</v>
      </c>
      <c r="B5" s="9">
        <f t="shared" ref="B5:B14" si="1">1000000*($A$14-$A5)/B$1</f>
        <v>562.49999999999989</v>
      </c>
      <c r="C5" s="9">
        <f t="shared" si="0"/>
        <v>140.62499999999997</v>
      </c>
      <c r="D5" s="9">
        <f t="shared" si="0"/>
        <v>35.156249999999993</v>
      </c>
    </row>
    <row r="6" spans="1:5" x14ac:dyDescent="0.3">
      <c r="A6" s="9">
        <f>'LongChannel Model'!A33</f>
        <v>0.2</v>
      </c>
      <c r="B6" s="9">
        <f t="shared" si="1"/>
        <v>499.99999999999983</v>
      </c>
      <c r="C6" s="9">
        <f t="shared" si="0"/>
        <v>124.99999999999996</v>
      </c>
      <c r="D6" s="9">
        <f t="shared" si="0"/>
        <v>31.249999999999989</v>
      </c>
    </row>
    <row r="7" spans="1:5" x14ac:dyDescent="0.3">
      <c r="A7" s="9">
        <f>'LongChannel Model'!A34</f>
        <v>0.30000000000000004</v>
      </c>
      <c r="B7" s="9">
        <f t="shared" si="1"/>
        <v>437.49999999999994</v>
      </c>
      <c r="C7" s="9">
        <f t="shared" si="0"/>
        <v>109.37499999999999</v>
      </c>
      <c r="D7" s="9">
        <f t="shared" si="0"/>
        <v>27.343749999999996</v>
      </c>
    </row>
    <row r="8" spans="1:5" x14ac:dyDescent="0.3">
      <c r="A8" s="9">
        <f>'LongChannel Model'!A35</f>
        <v>0.4</v>
      </c>
      <c r="B8" s="9">
        <f t="shared" si="1"/>
        <v>374.99999999999994</v>
      </c>
      <c r="C8" s="9">
        <f t="shared" si="0"/>
        <v>93.749999999999986</v>
      </c>
      <c r="D8" s="9">
        <f t="shared" si="0"/>
        <v>23.437499999999996</v>
      </c>
    </row>
    <row r="9" spans="1:5" x14ac:dyDescent="0.3">
      <c r="A9" s="9">
        <f>'LongChannel Model'!A36</f>
        <v>0.5</v>
      </c>
      <c r="B9" s="9">
        <f t="shared" si="1"/>
        <v>312.49999999999994</v>
      </c>
      <c r="C9" s="9">
        <f t="shared" si="0"/>
        <v>78.124999999999986</v>
      </c>
      <c r="D9" s="9">
        <f t="shared" si="0"/>
        <v>19.531249999999996</v>
      </c>
    </row>
    <row r="10" spans="1:5" x14ac:dyDescent="0.3">
      <c r="A10" s="9">
        <f>'LongChannel Model'!A37</f>
        <v>0.6</v>
      </c>
      <c r="B10" s="9">
        <f t="shared" si="1"/>
        <v>249.99999999999991</v>
      </c>
      <c r="C10" s="9">
        <f t="shared" si="0"/>
        <v>62.499999999999979</v>
      </c>
      <c r="D10" s="9">
        <f t="shared" si="0"/>
        <v>15.624999999999995</v>
      </c>
    </row>
    <row r="11" spans="1:5" x14ac:dyDescent="0.3">
      <c r="A11" s="9">
        <f>'LongChannel Model'!A38</f>
        <v>0.7</v>
      </c>
      <c r="B11" s="9">
        <f t="shared" si="1"/>
        <v>187.49999999999997</v>
      </c>
      <c r="C11" s="9">
        <f t="shared" si="0"/>
        <v>46.874999999999993</v>
      </c>
      <c r="D11" s="9">
        <f t="shared" si="0"/>
        <v>11.718749999999998</v>
      </c>
    </row>
    <row r="12" spans="1:5" x14ac:dyDescent="0.3">
      <c r="A12" s="9">
        <f>'LongChannel Model'!A39</f>
        <v>0.79999999999999993</v>
      </c>
      <c r="B12" s="9">
        <f t="shared" si="1"/>
        <v>124.99999999999996</v>
      </c>
      <c r="C12" s="9">
        <f t="shared" si="0"/>
        <v>31.249999999999989</v>
      </c>
      <c r="D12" s="9">
        <f t="shared" si="0"/>
        <v>7.8124999999999973</v>
      </c>
    </row>
    <row r="13" spans="1:5" x14ac:dyDescent="0.3">
      <c r="A13" s="9">
        <f>'LongChannel Model'!A40</f>
        <v>0.89999999999999991</v>
      </c>
      <c r="B13" s="9">
        <f t="shared" si="1"/>
        <v>62.499999999999979</v>
      </c>
      <c r="C13" s="9">
        <f t="shared" si="0"/>
        <v>15.624999999999995</v>
      </c>
      <c r="D13" s="9">
        <f t="shared" si="0"/>
        <v>3.9062499999999987</v>
      </c>
    </row>
    <row r="14" spans="1:5" x14ac:dyDescent="0.3">
      <c r="A14" s="9">
        <f>'LongChannel Model'!A41</f>
        <v>0.99999999999999989</v>
      </c>
      <c r="B14" s="9">
        <f t="shared" si="1"/>
        <v>0</v>
      </c>
      <c r="C14" s="9">
        <f t="shared" si="0"/>
        <v>0</v>
      </c>
      <c r="D14" s="9">
        <f t="shared" si="0"/>
        <v>0</v>
      </c>
    </row>
    <row r="15" spans="1:5" x14ac:dyDescent="0.3">
      <c r="C15" s="9"/>
      <c r="D15" s="9"/>
    </row>
    <row r="16" spans="1:5" x14ac:dyDescent="0.3">
      <c r="A16" s="9" t="s">
        <v>66</v>
      </c>
      <c r="B16" s="9">
        <f>1.1*'LongChannel Model'!L41</f>
        <v>141.74159999999998</v>
      </c>
    </row>
    <row r="17" spans="1:4" x14ac:dyDescent="0.3">
      <c r="B17" s="9" t="s">
        <v>65</v>
      </c>
      <c r="C17" s="9" t="s">
        <v>61</v>
      </c>
      <c r="D17" s="9" t="s">
        <v>64</v>
      </c>
    </row>
    <row r="18" spans="1:4" x14ac:dyDescent="0.3">
      <c r="A18" s="9" t="str">
        <f>A3</f>
        <v>Vds</v>
      </c>
      <c r="B18" s="9" t="s">
        <v>63</v>
      </c>
      <c r="C18" s="9" t="s">
        <v>63</v>
      </c>
      <c r="D18" s="9" t="s">
        <v>63</v>
      </c>
    </row>
    <row r="19" spans="1:4" x14ac:dyDescent="0.3">
      <c r="A19" s="9">
        <f t="shared" ref="A19:A29" si="2">A4</f>
        <v>0</v>
      </c>
      <c r="B19" s="9" t="e">
        <f>IF(B4&lt;=$B$16,B4,NA())</f>
        <v>#N/A</v>
      </c>
      <c r="C19" s="9" t="e">
        <f t="shared" ref="C19:D19" si="3">IF(C4&lt;=$B$16,C4,NA())</f>
        <v>#N/A</v>
      </c>
      <c r="D19" s="9">
        <f t="shared" si="3"/>
        <v>39.062499999999993</v>
      </c>
    </row>
    <row r="20" spans="1:4" x14ac:dyDescent="0.3">
      <c r="A20" s="9">
        <f t="shared" si="2"/>
        <v>0.1</v>
      </c>
      <c r="B20" s="9" t="e">
        <f t="shared" ref="B20:D20" si="4">IF(B5&lt;=$B$16,B5,NA())</f>
        <v>#N/A</v>
      </c>
      <c r="C20" s="9">
        <f t="shared" si="4"/>
        <v>140.62499999999997</v>
      </c>
      <c r="D20" s="9">
        <f t="shared" si="4"/>
        <v>35.156249999999993</v>
      </c>
    </row>
    <row r="21" spans="1:4" x14ac:dyDescent="0.3">
      <c r="A21" s="9">
        <f t="shared" si="2"/>
        <v>0.2</v>
      </c>
      <c r="B21" s="9" t="e">
        <f t="shared" ref="B21:D21" si="5">IF(B6&lt;=$B$16,B6,NA())</f>
        <v>#N/A</v>
      </c>
      <c r="C21" s="9">
        <f t="shared" si="5"/>
        <v>124.99999999999996</v>
      </c>
      <c r="D21" s="9">
        <f t="shared" si="5"/>
        <v>31.249999999999989</v>
      </c>
    </row>
    <row r="22" spans="1:4" x14ac:dyDescent="0.3">
      <c r="A22" s="9">
        <f t="shared" si="2"/>
        <v>0.30000000000000004</v>
      </c>
      <c r="B22" s="9" t="e">
        <f t="shared" ref="B22:D22" si="6">IF(B7&lt;=$B$16,B7,NA())</f>
        <v>#N/A</v>
      </c>
      <c r="C22" s="9">
        <f t="shared" si="6"/>
        <v>109.37499999999999</v>
      </c>
      <c r="D22" s="9">
        <f t="shared" si="6"/>
        <v>27.343749999999996</v>
      </c>
    </row>
    <row r="23" spans="1:4" x14ac:dyDescent="0.3">
      <c r="A23" s="9">
        <f t="shared" si="2"/>
        <v>0.4</v>
      </c>
      <c r="B23" s="9" t="e">
        <f t="shared" ref="B23:D23" si="7">IF(B8&lt;=$B$16,B8,NA())</f>
        <v>#N/A</v>
      </c>
      <c r="C23" s="9">
        <f t="shared" si="7"/>
        <v>93.749999999999986</v>
      </c>
      <c r="D23" s="9">
        <f t="shared" si="7"/>
        <v>23.437499999999996</v>
      </c>
    </row>
    <row r="24" spans="1:4" x14ac:dyDescent="0.3">
      <c r="A24" s="9">
        <f t="shared" si="2"/>
        <v>0.5</v>
      </c>
      <c r="B24" s="9" t="e">
        <f t="shared" ref="B24:D24" si="8">IF(B9&lt;=$B$16,B9,NA())</f>
        <v>#N/A</v>
      </c>
      <c r="C24" s="9">
        <f t="shared" si="8"/>
        <v>78.124999999999986</v>
      </c>
      <c r="D24" s="9">
        <f t="shared" si="8"/>
        <v>19.531249999999996</v>
      </c>
    </row>
    <row r="25" spans="1:4" x14ac:dyDescent="0.3">
      <c r="A25" s="9">
        <f t="shared" si="2"/>
        <v>0.6</v>
      </c>
      <c r="B25" s="9" t="e">
        <f t="shared" ref="B25:D25" si="9">IF(B10&lt;=$B$16,B10,NA())</f>
        <v>#N/A</v>
      </c>
      <c r="C25" s="9">
        <f t="shared" si="9"/>
        <v>62.499999999999979</v>
      </c>
      <c r="D25" s="9">
        <f t="shared" si="9"/>
        <v>15.624999999999995</v>
      </c>
    </row>
    <row r="26" spans="1:4" x14ac:dyDescent="0.3">
      <c r="A26" s="9">
        <f t="shared" si="2"/>
        <v>0.7</v>
      </c>
      <c r="B26" s="9" t="e">
        <f t="shared" ref="B26:D26" si="10">IF(B11&lt;=$B$16,B11,NA())</f>
        <v>#N/A</v>
      </c>
      <c r="C26" s="9">
        <f t="shared" si="10"/>
        <v>46.874999999999993</v>
      </c>
      <c r="D26" s="9">
        <f t="shared" si="10"/>
        <v>11.718749999999998</v>
      </c>
    </row>
    <row r="27" spans="1:4" x14ac:dyDescent="0.3">
      <c r="A27" s="9">
        <f t="shared" si="2"/>
        <v>0.79999999999999993</v>
      </c>
      <c r="B27" s="9">
        <f t="shared" ref="B27:D27" si="11">IF(B12&lt;=$B$16,B12,NA())</f>
        <v>124.99999999999996</v>
      </c>
      <c r="C27" s="9">
        <f t="shared" si="11"/>
        <v>31.249999999999989</v>
      </c>
      <c r="D27" s="9">
        <f t="shared" si="11"/>
        <v>7.8124999999999973</v>
      </c>
    </row>
    <row r="28" spans="1:4" x14ac:dyDescent="0.3">
      <c r="A28" s="9">
        <f t="shared" si="2"/>
        <v>0.89999999999999991</v>
      </c>
      <c r="B28" s="9">
        <f t="shared" ref="B28:D28" si="12">IF(B13&lt;=$B$16,B13,NA())</f>
        <v>62.499999999999979</v>
      </c>
      <c r="C28" s="9">
        <f t="shared" si="12"/>
        <v>15.624999999999995</v>
      </c>
      <c r="D28" s="9">
        <f t="shared" si="12"/>
        <v>3.9062499999999987</v>
      </c>
    </row>
    <row r="29" spans="1:4" x14ac:dyDescent="0.3">
      <c r="A29" s="9">
        <f t="shared" si="2"/>
        <v>0.99999999999999989</v>
      </c>
      <c r="B29" s="9">
        <f t="shared" ref="B29:D29" si="13">IF(B14&lt;=$B$16,B14,NA())</f>
        <v>0</v>
      </c>
      <c r="C29" s="9">
        <f t="shared" si="13"/>
        <v>0</v>
      </c>
      <c r="D29" s="9">
        <f t="shared" si="13"/>
        <v>0</v>
      </c>
    </row>
    <row r="30" spans="1:4" x14ac:dyDescent="0.3">
      <c r="C30" s="9"/>
      <c r="D30" s="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I30" sqref="I30"/>
    </sheetView>
  </sheetViews>
  <sheetFormatPr defaultRowHeight="15" x14ac:dyDescent="0.25"/>
  <cols>
    <col min="1" max="1" width="15.5703125" customWidth="1"/>
  </cols>
  <sheetData>
    <row r="1" spans="1:12" x14ac:dyDescent="0.3">
      <c r="A1" t="s">
        <v>67</v>
      </c>
    </row>
    <row r="2" spans="1:12" x14ac:dyDescent="0.3">
      <c r="A2" t="s">
        <v>69</v>
      </c>
    </row>
    <row r="3" spans="1:12" x14ac:dyDescent="0.3">
      <c r="A3" t="s">
        <v>70</v>
      </c>
    </row>
    <row r="5" spans="1:12" x14ac:dyDescent="0.3">
      <c r="A5" t="s">
        <v>68</v>
      </c>
      <c r="B5" s="27" t="s">
        <v>47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x14ac:dyDescent="0.3">
      <c r="A6" s="16" t="s">
        <v>27</v>
      </c>
      <c r="B6" s="16">
        <v>0</v>
      </c>
      <c r="C6" s="16">
        <v>0.5</v>
      </c>
      <c r="D6" s="16">
        <v>1</v>
      </c>
      <c r="E6" s="16">
        <v>1.5</v>
      </c>
      <c r="F6" s="16">
        <v>2</v>
      </c>
      <c r="G6" s="16">
        <v>2.5</v>
      </c>
      <c r="H6" s="16">
        <v>3</v>
      </c>
      <c r="I6" s="16">
        <v>3.5</v>
      </c>
      <c r="J6" s="16">
        <v>4</v>
      </c>
      <c r="K6" s="16">
        <v>4.5</v>
      </c>
      <c r="L6" s="16">
        <v>5</v>
      </c>
    </row>
    <row r="7" spans="1:12" x14ac:dyDescent="0.3">
      <c r="A7" s="16">
        <v>0</v>
      </c>
      <c r="B7" s="16">
        <f>IF('LongChannel Model'!B61&gt;'LongChannel Model'!B31,1,0)</f>
        <v>1</v>
      </c>
      <c r="C7" s="16">
        <f>IF('LongChannel Model'!C61&gt;'LongChannel Model'!C31,1,0)</f>
        <v>1</v>
      </c>
      <c r="D7" s="16">
        <f>IF('LongChannel Model'!D61&gt;'LongChannel Model'!D31,1,0)</f>
        <v>1</v>
      </c>
      <c r="E7" s="16">
        <f>IF('LongChannel Model'!E61&gt;'LongChannel Model'!E31,1,0)</f>
        <v>1</v>
      </c>
      <c r="F7" s="16">
        <f>IF('LongChannel Model'!F61&gt;'LongChannel Model'!F31,1,0)</f>
        <v>1</v>
      </c>
      <c r="G7" s="16">
        <f>IF('LongChannel Model'!G61&gt;'LongChannel Model'!G31,1,0)</f>
        <v>0</v>
      </c>
      <c r="H7" s="16">
        <f>IF('LongChannel Model'!H61&gt;'LongChannel Model'!H31,1,0)</f>
        <v>0</v>
      </c>
      <c r="I7" s="16">
        <f>IF('LongChannel Model'!I61&gt;'LongChannel Model'!I31,1,0)</f>
        <v>0</v>
      </c>
      <c r="J7" s="16">
        <f>IF('LongChannel Model'!J61&gt;'LongChannel Model'!J31,1,0)</f>
        <v>0</v>
      </c>
      <c r="K7" s="16">
        <f>IF('LongChannel Model'!K61&gt;'LongChannel Model'!K31,1,0)</f>
        <v>0</v>
      </c>
      <c r="L7" s="16">
        <f>IF('LongChannel Model'!L61&gt;'LongChannel Model'!L31,1,0)</f>
        <v>0</v>
      </c>
    </row>
    <row r="8" spans="1:12" x14ac:dyDescent="0.3">
      <c r="A8" s="16">
        <v>0.5</v>
      </c>
      <c r="B8" s="16">
        <f>IF('LongChannel Model'!B62&gt;'LongChannel Model'!B32,1,0)</f>
        <v>1</v>
      </c>
      <c r="C8" s="16">
        <f>IF('LongChannel Model'!C62&gt;'LongChannel Model'!C32,1,0)</f>
        <v>1</v>
      </c>
      <c r="D8" s="16">
        <f>IF('LongChannel Model'!D62&gt;'LongChannel Model'!D32,1,0)</f>
        <v>1</v>
      </c>
      <c r="E8" s="16">
        <f>IF('LongChannel Model'!E62&gt;'LongChannel Model'!E32,1,0)</f>
        <v>1</v>
      </c>
      <c r="F8" s="16">
        <f>IF('LongChannel Model'!F62&gt;'LongChannel Model'!F32,1,0)</f>
        <v>1</v>
      </c>
      <c r="G8" s="16">
        <f>IF('LongChannel Model'!G62&gt;'LongChannel Model'!G32,1,0)</f>
        <v>0</v>
      </c>
      <c r="H8" s="16">
        <f>IF('LongChannel Model'!H62&gt;'LongChannel Model'!H32,1,0)</f>
        <v>0</v>
      </c>
      <c r="I8" s="16">
        <f>IF('LongChannel Model'!I62&gt;'LongChannel Model'!I32,1,0)</f>
        <v>0</v>
      </c>
      <c r="J8" s="16">
        <f>IF('LongChannel Model'!J62&gt;'LongChannel Model'!J32,1,0)</f>
        <v>0</v>
      </c>
      <c r="K8" s="16">
        <f>IF('LongChannel Model'!K62&gt;'LongChannel Model'!K32,1,0)</f>
        <v>0</v>
      </c>
      <c r="L8" s="16">
        <f>IF('LongChannel Model'!L62&gt;'LongChannel Model'!L32,1,0)</f>
        <v>0</v>
      </c>
    </row>
    <row r="9" spans="1:12" x14ac:dyDescent="0.3">
      <c r="A9" s="16">
        <v>1</v>
      </c>
      <c r="B9" s="16">
        <f>IF('LongChannel Model'!B63&gt;'LongChannel Model'!B33,1,0)</f>
        <v>1</v>
      </c>
      <c r="C9" s="16">
        <f>IF('LongChannel Model'!C63&gt;'LongChannel Model'!C33,1,0)</f>
        <v>1</v>
      </c>
      <c r="D9" s="16">
        <f>IF('LongChannel Model'!D63&gt;'LongChannel Model'!D33,1,0)</f>
        <v>1</v>
      </c>
      <c r="E9" s="16">
        <f>IF('LongChannel Model'!E63&gt;'LongChannel Model'!E33,1,0)</f>
        <v>1</v>
      </c>
      <c r="F9" s="16">
        <f>IF('LongChannel Model'!F63&gt;'LongChannel Model'!F33,1,0)</f>
        <v>1</v>
      </c>
      <c r="G9" s="16">
        <f>IF('LongChannel Model'!G63&gt;'LongChannel Model'!G33,1,0)</f>
        <v>0</v>
      </c>
      <c r="H9" s="16">
        <f>IF('LongChannel Model'!H63&gt;'LongChannel Model'!H33,1,0)</f>
        <v>0</v>
      </c>
      <c r="I9" s="16">
        <f>IF('LongChannel Model'!I63&gt;'LongChannel Model'!I33,1,0)</f>
        <v>0</v>
      </c>
      <c r="J9" s="16">
        <f>IF('LongChannel Model'!J63&gt;'LongChannel Model'!J33,1,0)</f>
        <v>0</v>
      </c>
      <c r="K9" s="16">
        <f>IF('LongChannel Model'!K63&gt;'LongChannel Model'!K33,1,0)</f>
        <v>0</v>
      </c>
      <c r="L9" s="16">
        <f>IF('LongChannel Model'!L63&gt;'LongChannel Model'!L33,1,0)</f>
        <v>0</v>
      </c>
    </row>
    <row r="10" spans="1:12" x14ac:dyDescent="0.3">
      <c r="A10" s="16">
        <v>1.5</v>
      </c>
      <c r="B10" s="16">
        <f>IF('LongChannel Model'!B64&gt;'LongChannel Model'!B34,1,0)</f>
        <v>1</v>
      </c>
      <c r="C10" s="16">
        <f>IF('LongChannel Model'!C64&gt;'LongChannel Model'!C34,1,0)</f>
        <v>1</v>
      </c>
      <c r="D10" s="16">
        <f>IF('LongChannel Model'!D64&gt;'LongChannel Model'!D34,1,0)</f>
        <v>1</v>
      </c>
      <c r="E10" s="16">
        <f>IF('LongChannel Model'!E64&gt;'LongChannel Model'!E34,1,0)</f>
        <v>1</v>
      </c>
      <c r="F10" s="16">
        <f>IF('LongChannel Model'!F64&gt;'LongChannel Model'!F34,1,0)</f>
        <v>1</v>
      </c>
      <c r="G10" s="16">
        <f>IF('LongChannel Model'!G64&gt;'LongChannel Model'!G34,1,0)</f>
        <v>0</v>
      </c>
      <c r="H10" s="16">
        <f>IF('LongChannel Model'!H64&gt;'LongChannel Model'!H34,1,0)</f>
        <v>0</v>
      </c>
      <c r="I10" s="16">
        <f>IF('LongChannel Model'!I64&gt;'LongChannel Model'!I34,1,0)</f>
        <v>0</v>
      </c>
      <c r="J10" s="16">
        <f>IF('LongChannel Model'!J64&gt;'LongChannel Model'!J34,1,0)</f>
        <v>0</v>
      </c>
      <c r="K10" s="16">
        <f>IF('LongChannel Model'!K64&gt;'LongChannel Model'!K34,1,0)</f>
        <v>0</v>
      </c>
      <c r="L10" s="16">
        <f>IF('LongChannel Model'!L64&gt;'LongChannel Model'!L34,1,0)</f>
        <v>0</v>
      </c>
    </row>
    <row r="11" spans="1:12" x14ac:dyDescent="0.3">
      <c r="A11" s="16">
        <v>2</v>
      </c>
      <c r="B11" s="16">
        <f>IF('LongChannel Model'!B65&gt;'LongChannel Model'!B35,1,0)</f>
        <v>1</v>
      </c>
      <c r="C11" s="16">
        <f>IF('LongChannel Model'!C65&gt;'LongChannel Model'!C35,1,0)</f>
        <v>1</v>
      </c>
      <c r="D11" s="16">
        <f>IF('LongChannel Model'!D65&gt;'LongChannel Model'!D35,1,0)</f>
        <v>1</v>
      </c>
      <c r="E11" s="16">
        <f>IF('LongChannel Model'!E65&gt;'LongChannel Model'!E35,1,0)</f>
        <v>1</v>
      </c>
      <c r="F11" s="16">
        <f>IF('LongChannel Model'!F65&gt;'LongChannel Model'!F35,1,0)</f>
        <v>1</v>
      </c>
      <c r="G11" s="16">
        <f>IF('LongChannel Model'!G65&gt;'LongChannel Model'!G35,1,0)</f>
        <v>0</v>
      </c>
      <c r="H11" s="16">
        <f>IF('LongChannel Model'!H65&gt;'LongChannel Model'!H35,1,0)</f>
        <v>0</v>
      </c>
      <c r="I11" s="16">
        <f>IF('LongChannel Model'!I65&gt;'LongChannel Model'!I35,1,0)</f>
        <v>0</v>
      </c>
      <c r="J11" s="16">
        <f>IF('LongChannel Model'!J65&gt;'LongChannel Model'!J35,1,0)</f>
        <v>0</v>
      </c>
      <c r="K11" s="16">
        <f>IF('LongChannel Model'!K65&gt;'LongChannel Model'!K35,1,0)</f>
        <v>0</v>
      </c>
      <c r="L11" s="16">
        <f>IF('LongChannel Model'!L65&gt;'LongChannel Model'!L35,1,0)</f>
        <v>0</v>
      </c>
    </row>
    <row r="12" spans="1:12" x14ac:dyDescent="0.3">
      <c r="A12" s="16">
        <v>2.5</v>
      </c>
      <c r="B12" s="16">
        <f>IF('LongChannel Model'!B66&gt;'LongChannel Model'!B36,1,0)</f>
        <v>1</v>
      </c>
      <c r="C12" s="16">
        <f>IF('LongChannel Model'!C66&gt;'LongChannel Model'!C36,1,0)</f>
        <v>1</v>
      </c>
      <c r="D12" s="16">
        <f>IF('LongChannel Model'!D66&gt;'LongChannel Model'!D36,1,0)</f>
        <v>1</v>
      </c>
      <c r="E12" s="16">
        <f>IF('LongChannel Model'!E66&gt;'LongChannel Model'!E36,1,0)</f>
        <v>1</v>
      </c>
      <c r="F12" s="16">
        <f>IF('LongChannel Model'!F66&gt;'LongChannel Model'!F36,1,0)</f>
        <v>1</v>
      </c>
      <c r="G12" s="16">
        <f>IF('LongChannel Model'!G66&gt;'LongChannel Model'!G36,1,0)</f>
        <v>0</v>
      </c>
      <c r="H12" s="16">
        <f>IF('LongChannel Model'!H66&gt;'LongChannel Model'!H36,1,0)</f>
        <v>0</v>
      </c>
      <c r="I12" s="16">
        <f>IF('LongChannel Model'!I66&gt;'LongChannel Model'!I36,1,0)</f>
        <v>0</v>
      </c>
      <c r="J12" s="16">
        <f>IF('LongChannel Model'!J66&gt;'LongChannel Model'!J36,1,0)</f>
        <v>0</v>
      </c>
      <c r="K12" s="16">
        <f>IF('LongChannel Model'!K66&gt;'LongChannel Model'!K36,1,0)</f>
        <v>0</v>
      </c>
      <c r="L12" s="16">
        <f>IF('LongChannel Model'!L66&gt;'LongChannel Model'!L36,1,0)</f>
        <v>0</v>
      </c>
    </row>
    <row r="13" spans="1:12" x14ac:dyDescent="0.3">
      <c r="A13" s="16">
        <v>3</v>
      </c>
      <c r="B13" s="16">
        <f>IF('LongChannel Model'!B67&gt;'LongChannel Model'!B37,1,0)</f>
        <v>1</v>
      </c>
      <c r="C13" s="16">
        <f>IF('LongChannel Model'!C67&gt;'LongChannel Model'!C37,1,0)</f>
        <v>1</v>
      </c>
      <c r="D13" s="16">
        <f>IF('LongChannel Model'!D67&gt;'LongChannel Model'!D37,1,0)</f>
        <v>1</v>
      </c>
      <c r="E13" s="16">
        <f>IF('LongChannel Model'!E67&gt;'LongChannel Model'!E37,1,0)</f>
        <v>1</v>
      </c>
      <c r="F13" s="16">
        <f>IF('LongChannel Model'!F67&gt;'LongChannel Model'!F37,1,0)</f>
        <v>1</v>
      </c>
      <c r="G13" s="16">
        <f>IF('LongChannel Model'!G67&gt;'LongChannel Model'!G37,1,0)</f>
        <v>0</v>
      </c>
      <c r="H13" s="16">
        <f>IF('LongChannel Model'!H67&gt;'LongChannel Model'!H37,1,0)</f>
        <v>0</v>
      </c>
      <c r="I13" s="16">
        <f>IF('LongChannel Model'!I67&gt;'LongChannel Model'!I37,1,0)</f>
        <v>0</v>
      </c>
      <c r="J13" s="16">
        <f>IF('LongChannel Model'!J67&gt;'LongChannel Model'!J37,1,0)</f>
        <v>0</v>
      </c>
      <c r="K13" s="16">
        <f>IF('LongChannel Model'!K67&gt;'LongChannel Model'!K37,1,0)</f>
        <v>0</v>
      </c>
      <c r="L13" s="16">
        <f>IF('LongChannel Model'!L67&gt;'LongChannel Model'!L37,1,0)</f>
        <v>0</v>
      </c>
    </row>
    <row r="14" spans="1:12" x14ac:dyDescent="0.3">
      <c r="A14" s="16">
        <v>3.5</v>
      </c>
      <c r="B14" s="16">
        <f>IF('LongChannel Model'!B68&gt;'LongChannel Model'!B38,1,0)</f>
        <v>1</v>
      </c>
      <c r="C14" s="16">
        <f>IF('LongChannel Model'!C68&gt;'LongChannel Model'!C38,1,0)</f>
        <v>1</v>
      </c>
      <c r="D14" s="16">
        <f>IF('LongChannel Model'!D68&gt;'LongChannel Model'!D38,1,0)</f>
        <v>1</v>
      </c>
      <c r="E14" s="16">
        <f>IF('LongChannel Model'!E68&gt;'LongChannel Model'!E38,1,0)</f>
        <v>1</v>
      </c>
      <c r="F14" s="16">
        <f>IF('LongChannel Model'!F68&gt;'LongChannel Model'!F38,1,0)</f>
        <v>1</v>
      </c>
      <c r="G14" s="16">
        <f>IF('LongChannel Model'!G68&gt;'LongChannel Model'!G38,1,0)</f>
        <v>0</v>
      </c>
      <c r="H14" s="16">
        <f>IF('LongChannel Model'!H68&gt;'LongChannel Model'!H38,1,0)</f>
        <v>0</v>
      </c>
      <c r="I14" s="16">
        <f>IF('LongChannel Model'!I68&gt;'LongChannel Model'!I38,1,0)</f>
        <v>0</v>
      </c>
      <c r="J14" s="16">
        <f>IF('LongChannel Model'!J68&gt;'LongChannel Model'!J38,1,0)</f>
        <v>0</v>
      </c>
      <c r="K14" s="16">
        <f>IF('LongChannel Model'!K68&gt;'LongChannel Model'!K38,1,0)</f>
        <v>0</v>
      </c>
      <c r="L14" s="16">
        <f>IF('LongChannel Model'!L68&gt;'LongChannel Model'!L38,1,0)</f>
        <v>0</v>
      </c>
    </row>
    <row r="15" spans="1:12" x14ac:dyDescent="0.3">
      <c r="A15" s="16">
        <v>4</v>
      </c>
      <c r="B15" s="16">
        <f>IF('LongChannel Model'!B69&gt;'LongChannel Model'!B39,1,0)</f>
        <v>1</v>
      </c>
      <c r="C15" s="16">
        <f>IF('LongChannel Model'!C69&gt;'LongChannel Model'!C39,1,0)</f>
        <v>1</v>
      </c>
      <c r="D15" s="16">
        <f>IF('LongChannel Model'!D69&gt;'LongChannel Model'!D39,1,0)</f>
        <v>1</v>
      </c>
      <c r="E15" s="16">
        <f>IF('LongChannel Model'!E69&gt;'LongChannel Model'!E39,1,0)</f>
        <v>1</v>
      </c>
      <c r="F15" s="16">
        <f>IF('LongChannel Model'!F69&gt;'LongChannel Model'!F39,1,0)</f>
        <v>1</v>
      </c>
      <c r="G15" s="16">
        <f>IF('LongChannel Model'!G69&gt;'LongChannel Model'!G39,1,0)</f>
        <v>0</v>
      </c>
      <c r="H15" s="16">
        <f>IF('LongChannel Model'!H69&gt;'LongChannel Model'!H39,1,0)</f>
        <v>0</v>
      </c>
      <c r="I15" s="16">
        <f>IF('LongChannel Model'!I69&gt;'LongChannel Model'!I39,1,0)</f>
        <v>0</v>
      </c>
      <c r="J15" s="16">
        <f>IF('LongChannel Model'!J69&gt;'LongChannel Model'!J39,1,0)</f>
        <v>0</v>
      </c>
      <c r="K15" s="16">
        <f>IF('LongChannel Model'!K69&gt;'LongChannel Model'!K39,1,0)</f>
        <v>0</v>
      </c>
      <c r="L15" s="16">
        <f>IF('LongChannel Model'!L69&gt;'LongChannel Model'!L39,1,0)</f>
        <v>0</v>
      </c>
    </row>
    <row r="16" spans="1:12" x14ac:dyDescent="0.3">
      <c r="A16" s="16">
        <v>4.5</v>
      </c>
      <c r="B16" s="16">
        <f>IF('LongChannel Model'!B70&gt;'LongChannel Model'!B40,1,0)</f>
        <v>1</v>
      </c>
      <c r="C16" s="16">
        <f>IF('LongChannel Model'!C70&gt;'LongChannel Model'!C40,1,0)</f>
        <v>1</v>
      </c>
      <c r="D16" s="16">
        <f>IF('LongChannel Model'!D70&gt;'LongChannel Model'!D40,1,0)</f>
        <v>1</v>
      </c>
      <c r="E16" s="16">
        <f>IF('LongChannel Model'!E70&gt;'LongChannel Model'!E40,1,0)</f>
        <v>1</v>
      </c>
      <c r="F16" s="16">
        <f>IF('LongChannel Model'!F70&gt;'LongChannel Model'!F40,1,0)</f>
        <v>1</v>
      </c>
      <c r="G16" s="16">
        <f>IF('LongChannel Model'!G70&gt;'LongChannel Model'!G40,1,0)</f>
        <v>0</v>
      </c>
      <c r="H16" s="16">
        <f>IF('LongChannel Model'!H70&gt;'LongChannel Model'!H40,1,0)</f>
        <v>0</v>
      </c>
      <c r="I16" s="16">
        <f>IF('LongChannel Model'!I70&gt;'LongChannel Model'!I40,1,0)</f>
        <v>0</v>
      </c>
      <c r="J16" s="16">
        <f>IF('LongChannel Model'!J70&gt;'LongChannel Model'!J40,1,0)</f>
        <v>0</v>
      </c>
      <c r="K16" s="16">
        <f>IF('LongChannel Model'!K70&gt;'LongChannel Model'!K40,1,0)</f>
        <v>0</v>
      </c>
      <c r="L16" s="16">
        <f>IF('LongChannel Model'!L70&gt;'LongChannel Model'!L40,1,0)</f>
        <v>0</v>
      </c>
    </row>
    <row r="17" spans="1:12" x14ac:dyDescent="0.3">
      <c r="A17" s="16">
        <v>5</v>
      </c>
      <c r="B17" s="16">
        <f>IF('LongChannel Model'!B71&gt;'LongChannel Model'!B41,1,0)</f>
        <v>0</v>
      </c>
      <c r="C17" s="16">
        <f>IF('LongChannel Model'!C71&gt;'LongChannel Model'!C41,1,0)</f>
        <v>0</v>
      </c>
      <c r="D17" s="16">
        <f>IF('LongChannel Model'!D71&gt;'LongChannel Model'!D41,1,0)</f>
        <v>0</v>
      </c>
      <c r="E17" s="16">
        <f>IF('LongChannel Model'!E71&gt;'LongChannel Model'!E41,1,0)</f>
        <v>0</v>
      </c>
      <c r="F17" s="16">
        <f>IF('LongChannel Model'!F71&gt;'LongChannel Model'!F41,1,0)</f>
        <v>0</v>
      </c>
      <c r="G17" s="16">
        <f>IF('LongChannel Model'!G71&gt;'LongChannel Model'!G41,1,0)</f>
        <v>0</v>
      </c>
      <c r="H17" s="16">
        <f>IF('LongChannel Model'!H71&gt;'LongChannel Model'!H41,1,0)</f>
        <v>0</v>
      </c>
      <c r="I17" s="16">
        <f>IF('LongChannel Model'!I71&gt;'LongChannel Model'!I41,1,0)</f>
        <v>0</v>
      </c>
      <c r="J17" s="16">
        <f>IF('LongChannel Model'!J71&gt;'LongChannel Model'!J41,1,0)</f>
        <v>0</v>
      </c>
      <c r="K17" s="16">
        <f>IF('LongChannel Model'!K71&gt;'LongChannel Model'!K41,1,0)</f>
        <v>0</v>
      </c>
      <c r="L17" s="16">
        <f>IF('LongChannel Model'!L71&gt;'LongChannel Model'!L41,1,0)</f>
        <v>0</v>
      </c>
    </row>
    <row r="19" spans="1:12" x14ac:dyDescent="0.3">
      <c r="A19" t="s">
        <v>68</v>
      </c>
      <c r="B19" s="27" t="s">
        <v>47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x14ac:dyDescent="0.3">
      <c r="A20" s="16" t="s">
        <v>27</v>
      </c>
      <c r="B20" s="16">
        <v>0</v>
      </c>
      <c r="C20" s="16">
        <v>0.5</v>
      </c>
      <c r="D20" s="16">
        <v>1</v>
      </c>
      <c r="E20" s="16">
        <v>1.5</v>
      </c>
      <c r="F20" s="16">
        <v>2</v>
      </c>
      <c r="G20" s="16">
        <v>2.5</v>
      </c>
      <c r="H20" s="16">
        <v>3</v>
      </c>
      <c r="I20" s="16">
        <v>3.5</v>
      </c>
      <c r="J20" s="16">
        <v>4</v>
      </c>
      <c r="K20" s="16">
        <v>4.5</v>
      </c>
      <c r="L20" s="16">
        <v>5</v>
      </c>
    </row>
    <row r="21" spans="1:12" x14ac:dyDescent="0.3">
      <c r="A21" s="16"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x14ac:dyDescent="0.3">
      <c r="A22" s="16">
        <v>0.5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x14ac:dyDescent="0.3">
      <c r="A23" s="16">
        <v>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x14ac:dyDescent="0.3">
      <c r="A24" s="16">
        <v>1.5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3">
      <c r="A25" s="16">
        <v>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3">
      <c r="A26" s="16">
        <v>2.5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x14ac:dyDescent="0.3">
      <c r="A27" s="16">
        <v>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x14ac:dyDescent="0.3">
      <c r="A28" s="16">
        <v>3.5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x14ac:dyDescent="0.3">
      <c r="A29" s="16">
        <v>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x14ac:dyDescent="0.3">
      <c r="A30" s="16">
        <v>4.5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x14ac:dyDescent="0.3">
      <c r="A31" s="16">
        <v>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</sheetData>
  <mergeCells count="2">
    <mergeCell ref="B5:L5"/>
    <mergeCell ref="B19:L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ReadMe</vt:lpstr>
      <vt:lpstr>Parameter Sets</vt:lpstr>
      <vt:lpstr>LongChannel Model</vt:lpstr>
      <vt:lpstr>Fixed Vds</vt:lpstr>
      <vt:lpstr>R Pullup</vt:lpstr>
      <vt:lpstr>Analog Invertor</vt:lpstr>
    </vt:vector>
  </TitlesOfParts>
  <Company>University of Notre Dame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Kogge</dc:creator>
  <cp:lastModifiedBy>Peter Kogge</cp:lastModifiedBy>
  <cp:lastPrinted>2015-09-24T17:39:51Z</cp:lastPrinted>
  <dcterms:created xsi:type="dcterms:W3CDTF">2012-08-28T14:13:19Z</dcterms:created>
  <dcterms:modified xsi:type="dcterms:W3CDTF">2018-10-04T19:46:12Z</dcterms:modified>
</cp:coreProperties>
</file>